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155" windowHeight="11790" tabRatio="413"/>
  </bookViews>
  <sheets>
    <sheet name="Kopā" sheetId="1" r:id="rId1"/>
    <sheet name="līdz 50" sheetId="4" r:id="rId2"/>
    <sheet name="no 50 līdz 500" sheetId="2" r:id="rId3"/>
    <sheet name="virs 500" sheetId="3" r:id="rId4"/>
  </sheets>
  <definedNames>
    <definedName name="_xlnm.Print_Area" localSheetId="0">Kopā!$A$1:$BU$256</definedName>
    <definedName name="_xlnm.Print_Titles" localSheetId="0">Kopā!$1:$2</definedName>
  </definedNames>
  <calcPr calcId="145621"/>
</workbook>
</file>

<file path=xl/calcChain.xml><?xml version="1.0" encoding="utf-8"?>
<calcChain xmlns="http://schemas.openxmlformats.org/spreadsheetml/2006/main">
  <c r="BN61" i="1" l="1"/>
  <c r="BW8" i="3" l="1"/>
  <c r="BV8" i="3"/>
  <c r="BU8" i="3"/>
  <c r="BT8" i="3"/>
  <c r="BS8" i="3"/>
  <c r="BR8" i="3"/>
  <c r="BQ8" i="3"/>
  <c r="BB8" i="3"/>
  <c r="BP8" i="3" s="1"/>
  <c r="BA8" i="3"/>
  <c r="BO8" i="3" s="1"/>
  <c r="AZ8" i="3"/>
  <c r="BN8" i="3" s="1"/>
  <c r="AY8" i="3"/>
  <c r="BM8" i="3" s="1"/>
  <c r="AX8" i="3"/>
  <c r="BL8" i="3" s="1"/>
  <c r="AW8" i="3"/>
  <c r="BK8" i="3" s="1"/>
  <c r="AV8" i="3"/>
  <c r="AZ21" i="1"/>
  <c r="BD8" i="3" l="1"/>
  <c r="BE8" i="3"/>
  <c r="BF8" i="3"/>
  <c r="BG8" i="3"/>
  <c r="BH8" i="3"/>
  <c r="BI8" i="3"/>
  <c r="BS21" i="1"/>
  <c r="BW127" i="2" l="1"/>
  <c r="BU127" i="2"/>
  <c r="BT127" i="2"/>
  <c r="BS127" i="2"/>
  <c r="BR127" i="2"/>
  <c r="BQ127" i="2"/>
  <c r="BB127" i="2"/>
  <c r="BP127" i="2" s="1"/>
  <c r="BA127" i="2"/>
  <c r="BO127" i="2" s="1"/>
  <c r="AZ127" i="2"/>
  <c r="BN127" i="2" s="1"/>
  <c r="AY127" i="2"/>
  <c r="BM127" i="2" s="1"/>
  <c r="AX127" i="2"/>
  <c r="BL127" i="2" s="1"/>
  <c r="AW127" i="2"/>
  <c r="AV127" i="2"/>
  <c r="BW126" i="2"/>
  <c r="BU126" i="2"/>
  <c r="BT126" i="2"/>
  <c r="BS126" i="2"/>
  <c r="BR126" i="2"/>
  <c r="BQ126" i="2"/>
  <c r="BB126" i="2"/>
  <c r="BP126" i="2" s="1"/>
  <c r="BA126" i="2"/>
  <c r="AZ126" i="2"/>
  <c r="BU222" i="1"/>
  <c r="BS222" i="1"/>
  <c r="BU223" i="1"/>
  <c r="BS223" i="1"/>
  <c r="AZ222" i="1"/>
  <c r="AZ223" i="1"/>
  <c r="BR56" i="3" l="1"/>
  <c r="BS56" i="3"/>
  <c r="BT56" i="3"/>
  <c r="BU56" i="3"/>
  <c r="BQ56" i="3"/>
  <c r="BW6" i="3"/>
  <c r="BV6" i="3"/>
  <c r="BU6" i="3"/>
  <c r="BT6" i="3"/>
  <c r="BS6" i="3"/>
  <c r="BR6" i="3"/>
  <c r="BQ6" i="3"/>
  <c r="BB6" i="3"/>
  <c r="BA6" i="3"/>
  <c r="AZ6" i="3"/>
  <c r="AY6" i="3"/>
  <c r="AX6" i="3"/>
  <c r="AW6" i="3"/>
  <c r="AV6" i="3"/>
  <c r="AV5" i="3"/>
  <c r="AW5" i="3"/>
  <c r="AX5" i="3"/>
  <c r="AY5" i="3"/>
  <c r="AZ5" i="3"/>
  <c r="BA5" i="3"/>
  <c r="BB5" i="3"/>
  <c r="BD5" i="3"/>
  <c r="BE5" i="3"/>
  <c r="BF5" i="3"/>
  <c r="BG5" i="3"/>
  <c r="BH5" i="3"/>
  <c r="BI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AU142" i="2"/>
  <c r="AU141" i="2"/>
  <c r="AX172" i="1"/>
  <c r="BT67" i="2"/>
  <c r="BS67" i="2"/>
  <c r="BR67" i="2"/>
  <c r="AZ67" i="2"/>
  <c r="BO67" i="2" s="1"/>
  <c r="BW3" i="2"/>
  <c r="BV3" i="2"/>
  <c r="BU3" i="2"/>
  <c r="BT3" i="2"/>
  <c r="BS3" i="2"/>
  <c r="BB3" i="2"/>
  <c r="BA3" i="2"/>
  <c r="AZ3" i="2"/>
  <c r="BS7" i="1"/>
  <c r="AZ7" i="1"/>
  <c r="BW4" i="2"/>
  <c r="BU4" i="2"/>
  <c r="BT4" i="2"/>
  <c r="BB4" i="2"/>
  <c r="BA4" i="2"/>
  <c r="BS8" i="1"/>
  <c r="AZ8" i="1"/>
  <c r="BW5" i="2"/>
  <c r="BV5" i="2"/>
  <c r="BU5" i="2"/>
  <c r="BT5" i="2"/>
  <c r="BB5" i="2"/>
  <c r="BA5" i="2"/>
  <c r="BT7" i="1"/>
  <c r="BU7" i="1"/>
  <c r="BU8" i="1"/>
  <c r="BT9" i="1"/>
  <c r="BU9" i="1"/>
  <c r="BS9" i="1"/>
  <c r="AZ9" i="1"/>
  <c r="BU4" i="1"/>
  <c r="BT6" i="1"/>
  <c r="BU6" i="1"/>
  <c r="BS6" i="1"/>
  <c r="AZ6" i="1"/>
  <c r="BW30" i="2"/>
  <c r="BV30" i="2"/>
  <c r="BU30" i="2"/>
  <c r="BT30" i="2"/>
  <c r="BB30" i="2"/>
  <c r="BA30" i="2"/>
  <c r="BW29" i="2"/>
  <c r="BV29" i="2"/>
  <c r="BU29" i="2"/>
  <c r="BT29" i="2"/>
  <c r="BB29" i="2"/>
  <c r="BA29" i="2"/>
  <c r="BU4" i="4"/>
  <c r="BB4" i="4"/>
  <c r="AN48" i="4"/>
  <c r="AN47" i="4"/>
  <c r="BV45" i="3"/>
  <c r="BU45" i="3"/>
  <c r="BT45" i="3"/>
  <c r="BS45" i="3"/>
  <c r="BB45" i="3"/>
  <c r="BA45" i="3"/>
  <c r="AZ45" i="3"/>
  <c r="BW24" i="3"/>
  <c r="BV24" i="3"/>
  <c r="BU24" i="3"/>
  <c r="BT24" i="3"/>
  <c r="BS24" i="3"/>
  <c r="BR24" i="3"/>
  <c r="BQ24" i="3"/>
  <c r="BB24" i="3"/>
  <c r="BA24" i="3"/>
  <c r="AZ24" i="3"/>
  <c r="AY24" i="3"/>
  <c r="AX24" i="3"/>
  <c r="AW24" i="3"/>
  <c r="AV24" i="3"/>
  <c r="BW42" i="2"/>
  <c r="BV42" i="2"/>
  <c r="BU42" i="2"/>
  <c r="BT42" i="2"/>
  <c r="BS42" i="2"/>
  <c r="BR42" i="2"/>
  <c r="BQ42" i="2"/>
  <c r="BB42" i="2"/>
  <c r="BA42" i="2"/>
  <c r="AZ42" i="2"/>
  <c r="AY42" i="2"/>
  <c r="AX42" i="2"/>
  <c r="AW42" i="2"/>
  <c r="AV42" i="2"/>
  <c r="BU34" i="4"/>
  <c r="BB34" i="4"/>
  <c r="BU59" i="2"/>
  <c r="BS59" i="2"/>
  <c r="BR59" i="2"/>
  <c r="BQ59" i="2"/>
  <c r="BB59" i="2"/>
  <c r="BW139" i="2"/>
  <c r="BU139" i="2"/>
  <c r="BT139" i="2"/>
  <c r="BS139" i="2"/>
  <c r="BR139" i="2"/>
  <c r="BQ139" i="2"/>
  <c r="BB139" i="2"/>
  <c r="BA139" i="2"/>
  <c r="AZ139" i="2"/>
  <c r="AY139" i="2"/>
  <c r="AX139" i="2"/>
  <c r="AW139" i="2"/>
  <c r="AV139" i="2"/>
  <c r="BU46" i="4"/>
  <c r="BS46" i="4"/>
  <c r="BR46" i="4"/>
  <c r="BQ46" i="4"/>
  <c r="BB46" i="4"/>
  <c r="AZ46" i="4"/>
  <c r="AY46" i="4"/>
  <c r="AX46" i="4"/>
  <c r="AW46" i="4"/>
  <c r="AV46" i="4"/>
  <c r="BK24" i="3" l="1"/>
  <c r="BL24" i="3"/>
  <c r="BM24" i="3"/>
  <c r="BN24" i="3"/>
  <c r="BO24" i="3"/>
  <c r="BP24" i="3"/>
  <c r="BP45" i="3"/>
  <c r="BK6" i="3"/>
  <c r="BL6" i="3"/>
  <c r="BM6" i="3"/>
  <c r="BN6" i="3"/>
  <c r="BO6" i="3"/>
  <c r="BP6" i="3"/>
  <c r="BD6" i="3"/>
  <c r="BE6" i="3"/>
  <c r="BF6" i="3"/>
  <c r="BG6" i="3"/>
  <c r="BH6" i="3"/>
  <c r="BI6" i="3"/>
  <c r="BP29" i="2"/>
  <c r="BP30" i="2"/>
  <c r="BP5" i="2"/>
  <c r="BP4" i="2"/>
  <c r="BO3" i="2"/>
  <c r="BP3" i="2"/>
  <c r="BK46" i="4"/>
  <c r="BL46" i="4"/>
  <c r="BM46" i="4"/>
  <c r="BN46" i="4"/>
  <c r="BI46" i="4"/>
  <c r="BD24" i="3"/>
  <c r="BE24" i="3"/>
  <c r="BF24" i="3"/>
  <c r="BG24" i="3"/>
  <c r="BH24" i="3"/>
  <c r="BI24" i="3"/>
  <c r="BK139" i="2"/>
  <c r="BK42" i="2"/>
  <c r="BL42" i="2"/>
  <c r="BM42" i="2"/>
  <c r="BN42" i="2"/>
  <c r="BO42" i="2"/>
  <c r="BP42" i="2"/>
  <c r="BD42" i="2"/>
  <c r="BE42" i="2"/>
  <c r="BF42" i="2"/>
  <c r="BG42" i="2"/>
  <c r="BH42" i="2"/>
  <c r="BI42" i="2"/>
  <c r="BL139" i="2"/>
  <c r="BM139" i="2"/>
  <c r="BN139" i="2"/>
  <c r="BO139" i="2"/>
  <c r="BP139" i="2"/>
  <c r="BD139" i="2"/>
  <c r="BE139" i="2"/>
  <c r="BF139" i="2"/>
  <c r="BG139" i="2"/>
  <c r="BH139" i="2"/>
  <c r="BI139" i="2"/>
  <c r="BD46" i="4"/>
  <c r="BE46" i="4"/>
  <c r="BF46" i="4"/>
  <c r="BG46" i="4"/>
  <c r="BU44" i="4"/>
  <c r="BS44" i="4"/>
  <c r="BR44" i="4"/>
  <c r="BQ44" i="4"/>
  <c r="BB44" i="4"/>
  <c r="AZ44" i="4"/>
  <c r="AY44" i="4"/>
  <c r="AX44" i="4"/>
  <c r="AW44" i="4"/>
  <c r="AV44" i="4"/>
  <c r="BW138" i="2"/>
  <c r="BU138" i="2"/>
  <c r="BT138" i="2"/>
  <c r="BS138" i="2"/>
  <c r="BR138" i="2"/>
  <c r="BQ138" i="2"/>
  <c r="BB138" i="2"/>
  <c r="BA138" i="2"/>
  <c r="AZ138" i="2"/>
  <c r="AY138" i="2"/>
  <c r="AX138" i="2"/>
  <c r="AW138" i="2"/>
  <c r="AV138" i="2"/>
  <c r="BW133" i="2"/>
  <c r="BU133" i="2"/>
  <c r="BT133" i="2"/>
  <c r="BB133" i="2"/>
  <c r="BA133" i="2"/>
  <c r="BK44" i="4" l="1"/>
  <c r="BL44" i="4"/>
  <c r="BM44" i="4"/>
  <c r="BN44" i="4"/>
  <c r="BI44" i="4"/>
  <c r="BP133" i="2"/>
  <c r="BK138" i="2"/>
  <c r="BL138" i="2"/>
  <c r="BM138" i="2"/>
  <c r="BN138" i="2"/>
  <c r="BO138" i="2"/>
  <c r="BP138" i="2"/>
  <c r="BD44" i="4"/>
  <c r="BE44" i="4"/>
  <c r="BF44" i="4"/>
  <c r="BG44" i="4"/>
  <c r="BD138" i="2"/>
  <c r="BE138" i="2"/>
  <c r="BF138" i="2"/>
  <c r="BG138" i="2"/>
  <c r="BH138" i="2"/>
  <c r="BI138" i="2"/>
  <c r="BU12" i="2"/>
  <c r="BB12" i="2"/>
  <c r="BS20" i="1"/>
  <c r="AZ20" i="1"/>
  <c r="BW20" i="3" l="1"/>
  <c r="BV20" i="3"/>
  <c r="BU20" i="3"/>
  <c r="BB20" i="3"/>
  <c r="BP20" i="3" s="1"/>
  <c r="BS12" i="1"/>
  <c r="AZ12" i="1"/>
  <c r="BU7" i="2"/>
  <c r="BB7" i="2"/>
  <c r="BS11" i="1"/>
  <c r="AZ11" i="1"/>
  <c r="BU6" i="2"/>
  <c r="BB6" i="2"/>
  <c r="BU46" i="3"/>
  <c r="BS46" i="3"/>
  <c r="BR46" i="3"/>
  <c r="BQ46" i="3"/>
  <c r="BB46" i="3"/>
  <c r="AZ46" i="3"/>
  <c r="AY46" i="3"/>
  <c r="AX46" i="3"/>
  <c r="AW46" i="3"/>
  <c r="AV46" i="3"/>
  <c r="AY244" i="1"/>
  <c r="BW54" i="3"/>
  <c r="BV54" i="3"/>
  <c r="BU54" i="3"/>
  <c r="BT54" i="3"/>
  <c r="BS54" i="3"/>
  <c r="BR54" i="3"/>
  <c r="BQ54" i="3"/>
  <c r="BB54" i="3"/>
  <c r="BA54" i="3"/>
  <c r="AZ54" i="3"/>
  <c r="AY54" i="3"/>
  <c r="AX54" i="3"/>
  <c r="AW54" i="3"/>
  <c r="AV54" i="3"/>
  <c r="BW93" i="2"/>
  <c r="BV93" i="2"/>
  <c r="BU93" i="2"/>
  <c r="BT93" i="2"/>
  <c r="BB93" i="2"/>
  <c r="BA93" i="2"/>
  <c r="AZ93" i="2"/>
  <c r="AY93" i="2"/>
  <c r="AX93" i="2"/>
  <c r="AW93" i="2"/>
  <c r="AV93" i="2"/>
  <c r="BW29" i="3"/>
  <c r="BV29" i="3"/>
  <c r="BU29" i="3"/>
  <c r="BT29" i="3"/>
  <c r="BS29" i="3"/>
  <c r="BR29" i="3"/>
  <c r="BQ29" i="3"/>
  <c r="BB29" i="3"/>
  <c r="BA29" i="3"/>
  <c r="AZ29" i="3"/>
  <c r="AY29" i="3"/>
  <c r="AX29" i="3"/>
  <c r="AW29" i="3"/>
  <c r="AV29" i="3"/>
  <c r="BU31" i="2"/>
  <c r="BB31" i="2"/>
  <c r="AZ56" i="1"/>
  <c r="BS56" i="1"/>
  <c r="BU32" i="2"/>
  <c r="BB32" i="2"/>
  <c r="BS55" i="1"/>
  <c r="AZ55" i="1"/>
  <c r="BS129" i="2"/>
  <c r="BR129" i="2"/>
  <c r="BQ129" i="2"/>
  <c r="BB129" i="2"/>
  <c r="AZ129" i="2"/>
  <c r="AY129" i="2"/>
  <c r="AX129" i="2"/>
  <c r="AW129" i="2"/>
  <c r="AV129" i="2"/>
  <c r="BK29" i="3" l="1"/>
  <c r="BL29" i="3"/>
  <c r="BM29" i="3"/>
  <c r="BN29" i="3"/>
  <c r="BO29" i="3"/>
  <c r="BP29" i="3"/>
  <c r="BK54" i="3"/>
  <c r="BL54" i="3"/>
  <c r="BM54" i="3"/>
  <c r="BN54" i="3"/>
  <c r="BO54" i="3"/>
  <c r="BP54" i="3"/>
  <c r="BK46" i="3"/>
  <c r="BL46" i="3"/>
  <c r="BM46" i="3"/>
  <c r="BN46" i="3"/>
  <c r="BI46" i="3"/>
  <c r="BK129" i="2"/>
  <c r="BL129" i="2"/>
  <c r="BM129" i="2"/>
  <c r="BN129" i="2"/>
  <c r="BK93" i="2"/>
  <c r="BL93" i="2"/>
  <c r="BM93" i="2"/>
  <c r="BN93" i="2"/>
  <c r="BO93" i="2"/>
  <c r="BP93" i="2"/>
  <c r="BI20" i="3"/>
  <c r="BD46" i="3"/>
  <c r="BE46" i="3"/>
  <c r="BF46" i="3"/>
  <c r="BG46" i="3"/>
  <c r="BD54" i="3"/>
  <c r="BE54" i="3"/>
  <c r="BF54" i="3"/>
  <c r="BG54" i="3"/>
  <c r="BH54" i="3"/>
  <c r="BI54" i="3"/>
  <c r="BD93" i="2"/>
  <c r="BE93" i="2"/>
  <c r="BF93" i="2"/>
  <c r="BG93" i="2"/>
  <c r="BH93" i="2"/>
  <c r="BI93" i="2"/>
  <c r="BD29" i="3"/>
  <c r="BE29" i="3"/>
  <c r="BF29" i="3"/>
  <c r="BG29" i="3"/>
  <c r="BH29" i="3"/>
  <c r="BI29" i="3"/>
  <c r="BD129" i="2"/>
  <c r="BE129" i="2"/>
  <c r="BF129" i="2"/>
  <c r="BG129" i="2"/>
  <c r="BI129" i="2"/>
  <c r="BW32" i="3"/>
  <c r="BV32" i="3"/>
  <c r="BU32" i="3"/>
  <c r="BT32" i="3"/>
  <c r="BS32" i="3"/>
  <c r="BR32" i="3"/>
  <c r="BQ32" i="3"/>
  <c r="BB32" i="3"/>
  <c r="BA32" i="3"/>
  <c r="BT123" i="1"/>
  <c r="BW16" i="2"/>
  <c r="BV16" i="2"/>
  <c r="BU16" i="2"/>
  <c r="BT16" i="2"/>
  <c r="BS16" i="2"/>
  <c r="BR16" i="2"/>
  <c r="BB16" i="2"/>
  <c r="BA16" i="2"/>
  <c r="AZ16" i="2"/>
  <c r="AY16" i="2"/>
  <c r="AX16" i="2"/>
  <c r="BP32" i="3" l="1"/>
  <c r="BM16" i="2"/>
  <c r="BN16" i="2"/>
  <c r="BO16" i="2"/>
  <c r="BP16" i="2"/>
  <c r="BH16" i="2"/>
  <c r="BI16" i="2"/>
  <c r="BU10" i="3"/>
  <c r="BR10" i="3"/>
  <c r="BQ10" i="3"/>
  <c r="BB10" i="3"/>
  <c r="AZ10" i="3"/>
  <c r="AY10" i="3"/>
  <c r="AX10" i="3"/>
  <c r="AW10" i="3"/>
  <c r="AV10" i="3"/>
  <c r="BW19" i="2"/>
  <c r="BV19" i="2"/>
  <c r="BU19" i="2"/>
  <c r="BT19" i="2"/>
  <c r="BB19" i="2"/>
  <c r="BA19" i="2"/>
  <c r="BW50" i="2"/>
  <c r="BU50" i="2"/>
  <c r="BT50" i="2"/>
  <c r="BB50" i="2"/>
  <c r="BA50" i="2"/>
  <c r="BW22" i="4"/>
  <c r="BV22" i="4"/>
  <c r="BU22" i="4"/>
  <c r="BT22" i="4"/>
  <c r="BS22" i="4"/>
  <c r="BR22" i="4"/>
  <c r="BQ22" i="4"/>
  <c r="BB22" i="4"/>
  <c r="BA22" i="4"/>
  <c r="AZ22" i="4"/>
  <c r="AY22" i="4"/>
  <c r="AX22" i="4"/>
  <c r="AW22" i="4"/>
  <c r="AV22" i="4"/>
  <c r="BT134" i="1"/>
  <c r="BW86" i="2"/>
  <c r="BV86" i="2"/>
  <c r="BU86" i="2"/>
  <c r="BT86" i="2"/>
  <c r="BB86" i="2"/>
  <c r="BA86" i="2"/>
  <c r="BT157" i="1"/>
  <c r="BW101" i="2"/>
  <c r="BV101" i="2"/>
  <c r="BU101" i="2"/>
  <c r="BT101" i="2"/>
  <c r="BS101" i="2"/>
  <c r="BR101" i="2"/>
  <c r="BQ101" i="2"/>
  <c r="BB101" i="2"/>
  <c r="BA101" i="2"/>
  <c r="AZ101" i="2"/>
  <c r="AY101" i="2"/>
  <c r="AX101" i="2"/>
  <c r="AW101" i="2"/>
  <c r="AV101" i="2"/>
  <c r="BW26" i="2"/>
  <c r="BV26" i="2"/>
  <c r="BU26" i="2"/>
  <c r="BT26" i="2"/>
  <c r="BB26" i="2"/>
  <c r="BA26" i="2"/>
  <c r="AZ26" i="2"/>
  <c r="AY26" i="2"/>
  <c r="AX26" i="2"/>
  <c r="AW26" i="2"/>
  <c r="AV26" i="2"/>
  <c r="BR52" i="1"/>
  <c r="BW58" i="2"/>
  <c r="BV58" i="2"/>
  <c r="BU58" i="2"/>
  <c r="BT58" i="2"/>
  <c r="BB58" i="2"/>
  <c r="BA58" i="2"/>
  <c r="BW3" i="3"/>
  <c r="BV3" i="3"/>
  <c r="BU3" i="3"/>
  <c r="BT3" i="3"/>
  <c r="BS3" i="3"/>
  <c r="BR3" i="3"/>
  <c r="BQ3" i="3"/>
  <c r="BB3" i="3"/>
  <c r="BA3" i="3"/>
  <c r="AZ3" i="3"/>
  <c r="AY3" i="3"/>
  <c r="AX3" i="3"/>
  <c r="AW3" i="3"/>
  <c r="AV3" i="3"/>
  <c r="AC3" i="3"/>
  <c r="AB3" i="3"/>
  <c r="AA3" i="3"/>
  <c r="Z3" i="3"/>
  <c r="Y3" i="3"/>
  <c r="BW37" i="3"/>
  <c r="BV37" i="3"/>
  <c r="BU37" i="3"/>
  <c r="BT37" i="3"/>
  <c r="BS37" i="3"/>
  <c r="BR37" i="3"/>
  <c r="BQ37" i="3"/>
  <c r="BB37" i="3"/>
  <c r="BA37" i="3"/>
  <c r="AZ37" i="3"/>
  <c r="AY37" i="3"/>
  <c r="AX37" i="3"/>
  <c r="AW37" i="3"/>
  <c r="AV37" i="3"/>
  <c r="AC37" i="3"/>
  <c r="AB37" i="3"/>
  <c r="AA37" i="3"/>
  <c r="Z37" i="3"/>
  <c r="BW79" i="2"/>
  <c r="BU79" i="2"/>
  <c r="BT79" i="2"/>
  <c r="BS79" i="2"/>
  <c r="BR79" i="2"/>
  <c r="BQ79" i="2"/>
  <c r="BB79" i="2"/>
  <c r="BA79" i="2"/>
  <c r="AZ79" i="2"/>
  <c r="AY79" i="2"/>
  <c r="AX79" i="2"/>
  <c r="AW79" i="2"/>
  <c r="AV79" i="2"/>
  <c r="BW102" i="2"/>
  <c r="BU102" i="2"/>
  <c r="BT102" i="2"/>
  <c r="BB102" i="2"/>
  <c r="BA102" i="2"/>
  <c r="BW104" i="2"/>
  <c r="BV104" i="2"/>
  <c r="BU104" i="2"/>
  <c r="BT104" i="2"/>
  <c r="BS104" i="2"/>
  <c r="BR104" i="2"/>
  <c r="BQ104" i="2"/>
  <c r="BB104" i="2"/>
  <c r="BA104" i="2"/>
  <c r="AZ104" i="2"/>
  <c r="AY104" i="2"/>
  <c r="AX104" i="2"/>
  <c r="AW104" i="2"/>
  <c r="AV104" i="2"/>
  <c r="BK37" i="3" l="1"/>
  <c r="BL37" i="3"/>
  <c r="BM37" i="3"/>
  <c r="BN37" i="3"/>
  <c r="BO37" i="3"/>
  <c r="BP37" i="3"/>
  <c r="BK3" i="3"/>
  <c r="BL3" i="3"/>
  <c r="BM3" i="3"/>
  <c r="BN3" i="3"/>
  <c r="BO3" i="3"/>
  <c r="BP3" i="3"/>
  <c r="BK104" i="2"/>
  <c r="BL104" i="2"/>
  <c r="BM104" i="2"/>
  <c r="BN104" i="2"/>
  <c r="BO104" i="2"/>
  <c r="BP104" i="2"/>
  <c r="BP102" i="2"/>
  <c r="BK79" i="2"/>
  <c r="BL79" i="2"/>
  <c r="BM79" i="2"/>
  <c r="BN79" i="2"/>
  <c r="BO79" i="2"/>
  <c r="BP79" i="2"/>
  <c r="BK101" i="2"/>
  <c r="BL101" i="2"/>
  <c r="BM101" i="2"/>
  <c r="BN101" i="2"/>
  <c r="BP86" i="2"/>
  <c r="BP50" i="2"/>
  <c r="BP58" i="2"/>
  <c r="BO101" i="2"/>
  <c r="BP101" i="2"/>
  <c r="BK26" i="2"/>
  <c r="BL26" i="2"/>
  <c r="BM26" i="2"/>
  <c r="BN26" i="2"/>
  <c r="BO26" i="2"/>
  <c r="BP26" i="2"/>
  <c r="BP19" i="2"/>
  <c r="BK22" i="4"/>
  <c r="BL22" i="4"/>
  <c r="BM22" i="4"/>
  <c r="BN22" i="4"/>
  <c r="BO22" i="4"/>
  <c r="BP22" i="4"/>
  <c r="BK10" i="3"/>
  <c r="BL10" i="3"/>
  <c r="BM10" i="3"/>
  <c r="BN10" i="3"/>
  <c r="BD10" i="3"/>
  <c r="BE10" i="3"/>
  <c r="BF10" i="3"/>
  <c r="BG10" i="3"/>
  <c r="BI10" i="3"/>
  <c r="BD22" i="4"/>
  <c r="BE22" i="4"/>
  <c r="BF22" i="4"/>
  <c r="BG22" i="4"/>
  <c r="BH22" i="4"/>
  <c r="BI22" i="4"/>
  <c r="BD101" i="2"/>
  <c r="BE101" i="2"/>
  <c r="BF101" i="2"/>
  <c r="BG101" i="2"/>
  <c r="BH101" i="2"/>
  <c r="BI101" i="2"/>
  <c r="BD26" i="2"/>
  <c r="BE26" i="2"/>
  <c r="BF26" i="2"/>
  <c r="BG26" i="2"/>
  <c r="BH26" i="2"/>
  <c r="BI26" i="2"/>
  <c r="BD3" i="3"/>
  <c r="BE3" i="3"/>
  <c r="BF3" i="3"/>
  <c r="BG3" i="3"/>
  <c r="BH3" i="3"/>
  <c r="BI3" i="3"/>
  <c r="BD37" i="3"/>
  <c r="BE37" i="3"/>
  <c r="BF37" i="3"/>
  <c r="BG37" i="3"/>
  <c r="BH37" i="3"/>
  <c r="BI37" i="3"/>
  <c r="BD79" i="2"/>
  <c r="BE79" i="2"/>
  <c r="BF79" i="2"/>
  <c r="BG79" i="2"/>
  <c r="BH79" i="2"/>
  <c r="BI79" i="2"/>
  <c r="BD104" i="2"/>
  <c r="BE104" i="2"/>
  <c r="BF104" i="2"/>
  <c r="BG104" i="2"/>
  <c r="BH104" i="2"/>
  <c r="BI104" i="2"/>
  <c r="BW82" i="2"/>
  <c r="BU82" i="2"/>
  <c r="BT82" i="2"/>
  <c r="BB82" i="2"/>
  <c r="BA82" i="2"/>
  <c r="BU52" i="3"/>
  <c r="BS52" i="3"/>
  <c r="BR52" i="3"/>
  <c r="BQ52" i="3"/>
  <c r="BB52" i="3"/>
  <c r="AZ52" i="3"/>
  <c r="AY52" i="3"/>
  <c r="AX52" i="3"/>
  <c r="AW52" i="3"/>
  <c r="AV52" i="3"/>
  <c r="BW18" i="3"/>
  <c r="BV18" i="3"/>
  <c r="BU18" i="3"/>
  <c r="BT18" i="3"/>
  <c r="BS18" i="3"/>
  <c r="BR18" i="3"/>
  <c r="BQ18" i="3"/>
  <c r="BB18" i="3"/>
  <c r="BA18" i="3"/>
  <c r="AZ18" i="3"/>
  <c r="AY18" i="3"/>
  <c r="AX18" i="3"/>
  <c r="AW18" i="3"/>
  <c r="AV18" i="3"/>
  <c r="BU41" i="2"/>
  <c r="BS41" i="2"/>
  <c r="BR41" i="2"/>
  <c r="BQ41" i="2"/>
  <c r="BB41" i="2"/>
  <c r="AZ41" i="2"/>
  <c r="AY41" i="2"/>
  <c r="AX41" i="2"/>
  <c r="AW41" i="2"/>
  <c r="AV41" i="2"/>
  <c r="BW38" i="2"/>
  <c r="BU38" i="2"/>
  <c r="BT38" i="2"/>
  <c r="BS38" i="2"/>
  <c r="BR38" i="2"/>
  <c r="BQ38" i="2"/>
  <c r="BB38" i="2"/>
  <c r="BA38" i="2"/>
  <c r="AZ38" i="2"/>
  <c r="AY38" i="2"/>
  <c r="AX38" i="2"/>
  <c r="AW38" i="2"/>
  <c r="AV38" i="2"/>
  <c r="BW91" i="2"/>
  <c r="BV91" i="2"/>
  <c r="BU91" i="2"/>
  <c r="BT91" i="2"/>
  <c r="BS91" i="2"/>
  <c r="BR91" i="2"/>
  <c r="BQ91" i="2"/>
  <c r="BB91" i="2"/>
  <c r="BA91" i="2"/>
  <c r="AZ91" i="2"/>
  <c r="AY91" i="2"/>
  <c r="AX91" i="2"/>
  <c r="AW91" i="2"/>
  <c r="AV91" i="2"/>
  <c r="BW23" i="4"/>
  <c r="BV23" i="4"/>
  <c r="BU23" i="4"/>
  <c r="BT23" i="4"/>
  <c r="BS23" i="4"/>
  <c r="BR23" i="4"/>
  <c r="BQ23" i="4"/>
  <c r="BB23" i="4"/>
  <c r="BA23" i="4"/>
  <c r="AZ23" i="4"/>
  <c r="AY23" i="4"/>
  <c r="AX23" i="4"/>
  <c r="AW23" i="4"/>
  <c r="AV23" i="4"/>
  <c r="BW57" i="2"/>
  <c r="BU57" i="2"/>
  <c r="BT57" i="2"/>
  <c r="BB57" i="2"/>
  <c r="BA57" i="2"/>
  <c r="BU39" i="2"/>
  <c r="BS39" i="2"/>
  <c r="BR39" i="2"/>
  <c r="BQ39" i="2"/>
  <c r="BB39" i="2"/>
  <c r="AZ39" i="2"/>
  <c r="AY39" i="2"/>
  <c r="AX39" i="2"/>
  <c r="AW39" i="2"/>
  <c r="AV39" i="2"/>
  <c r="BW13" i="4"/>
  <c r="BU13" i="4"/>
  <c r="BT13" i="4"/>
  <c r="BS13" i="4"/>
  <c r="BR13" i="4"/>
  <c r="BQ13" i="4"/>
  <c r="BB13" i="4"/>
  <c r="BA13" i="4"/>
  <c r="AZ13" i="4"/>
  <c r="AY13" i="4"/>
  <c r="AX13" i="4"/>
  <c r="AW13" i="4"/>
  <c r="AV13" i="4"/>
  <c r="BW17" i="3"/>
  <c r="BV17" i="3"/>
  <c r="BU17" i="3"/>
  <c r="BT17" i="3"/>
  <c r="BS17" i="3"/>
  <c r="BR17" i="3"/>
  <c r="BQ17" i="3"/>
  <c r="BB17" i="3"/>
  <c r="BA17" i="3"/>
  <c r="AZ17" i="3"/>
  <c r="AY17" i="3"/>
  <c r="AX17" i="3"/>
  <c r="AW17" i="3"/>
  <c r="AV17" i="3"/>
  <c r="BW43" i="2"/>
  <c r="BU43" i="2"/>
  <c r="BT43" i="2"/>
  <c r="BS43" i="2"/>
  <c r="BR43" i="2"/>
  <c r="BQ43" i="2"/>
  <c r="BB43" i="2"/>
  <c r="BA43" i="2"/>
  <c r="AZ43" i="2"/>
  <c r="AY43" i="2"/>
  <c r="AX43" i="2"/>
  <c r="AW43" i="2"/>
  <c r="AV43" i="2"/>
  <c r="BW40" i="2"/>
  <c r="BV40" i="2"/>
  <c r="BU40" i="2"/>
  <c r="BT40" i="2"/>
  <c r="BS40" i="2"/>
  <c r="BR40" i="2"/>
  <c r="BQ40" i="2"/>
  <c r="BB40" i="2"/>
  <c r="BA40" i="2"/>
  <c r="AZ40" i="2"/>
  <c r="AY40" i="2"/>
  <c r="AX40" i="2"/>
  <c r="AW40" i="2"/>
  <c r="AV40" i="2"/>
  <c r="BW14" i="4"/>
  <c r="BU14" i="4"/>
  <c r="BT14" i="4"/>
  <c r="BS14" i="4"/>
  <c r="BR14" i="4"/>
  <c r="BB14" i="4"/>
  <c r="BA14" i="4"/>
  <c r="AZ14" i="4"/>
  <c r="AY14" i="4"/>
  <c r="AX14" i="4"/>
  <c r="AW14" i="4"/>
  <c r="AV14" i="4"/>
  <c r="BU12" i="3"/>
  <c r="BS12" i="3"/>
  <c r="BR12" i="3"/>
  <c r="BQ12" i="3"/>
  <c r="BB12" i="3"/>
  <c r="AZ12" i="3"/>
  <c r="AY12" i="3"/>
  <c r="AX12" i="3"/>
  <c r="AW12" i="3"/>
  <c r="AV12" i="3"/>
  <c r="Y12" i="3"/>
  <c r="BW44" i="3"/>
  <c r="BV44" i="3"/>
  <c r="BU44" i="3"/>
  <c r="BT44" i="3"/>
  <c r="BS44" i="3"/>
  <c r="BB44" i="3"/>
  <c r="BA44" i="3"/>
  <c r="AZ44" i="3"/>
  <c r="BW10" i="2"/>
  <c r="BU10" i="2"/>
  <c r="BT10" i="2"/>
  <c r="BB10" i="2"/>
  <c r="BA10" i="2"/>
  <c r="BW69" i="2"/>
  <c r="BV69" i="2"/>
  <c r="BU69" i="2"/>
  <c r="BT69" i="2"/>
  <c r="BS69" i="2"/>
  <c r="BR69" i="2"/>
  <c r="BQ69" i="2"/>
  <c r="BB69" i="2"/>
  <c r="BA69" i="2"/>
  <c r="AZ69" i="2"/>
  <c r="AY69" i="2"/>
  <c r="AX69" i="2"/>
  <c r="AW69" i="2"/>
  <c r="AV69" i="2"/>
  <c r="AA69" i="2"/>
  <c r="Z69" i="2"/>
  <c r="Y69" i="2"/>
  <c r="BW70" i="2"/>
  <c r="BV70" i="2"/>
  <c r="BU70" i="2"/>
  <c r="BT70" i="2"/>
  <c r="BS70" i="2"/>
  <c r="BR70" i="2"/>
  <c r="BQ70" i="2"/>
  <c r="BB70" i="2"/>
  <c r="BA70" i="2"/>
  <c r="AZ70" i="2"/>
  <c r="AY70" i="2"/>
  <c r="AX70" i="2"/>
  <c r="AW70" i="2"/>
  <c r="AV70" i="2"/>
  <c r="BW71" i="2"/>
  <c r="BV71" i="2"/>
  <c r="BU71" i="2"/>
  <c r="BT71" i="2"/>
  <c r="BS71" i="2"/>
  <c r="BR71" i="2"/>
  <c r="BQ71" i="2"/>
  <c r="BB71" i="2"/>
  <c r="BA71" i="2"/>
  <c r="AZ71" i="2"/>
  <c r="AY71" i="2"/>
  <c r="AX71" i="2"/>
  <c r="AW71" i="2"/>
  <c r="AV71" i="2"/>
  <c r="BW72" i="2"/>
  <c r="BU72" i="2"/>
  <c r="BT72" i="2"/>
  <c r="BS72" i="2"/>
  <c r="BR72" i="2"/>
  <c r="BQ72" i="2"/>
  <c r="BB72" i="2"/>
  <c r="BA72" i="2"/>
  <c r="AZ72" i="2"/>
  <c r="AY72" i="2"/>
  <c r="AX72" i="2"/>
  <c r="AW72" i="2"/>
  <c r="AV72" i="2"/>
  <c r="BW68" i="2"/>
  <c r="BV68" i="2"/>
  <c r="BU68" i="2"/>
  <c r="BT68" i="2"/>
  <c r="BS68" i="2"/>
  <c r="BR68" i="2"/>
  <c r="BQ68" i="2"/>
  <c r="BB68" i="2"/>
  <c r="BA68" i="2"/>
  <c r="AZ68" i="2"/>
  <c r="AY68" i="2"/>
  <c r="AX68" i="2"/>
  <c r="AW68" i="2"/>
  <c r="AV68" i="2"/>
  <c r="BW31" i="3"/>
  <c r="BV31" i="3"/>
  <c r="BU31" i="3"/>
  <c r="BT31" i="3"/>
  <c r="BS31" i="3"/>
  <c r="BR31" i="3"/>
  <c r="BQ31" i="3"/>
  <c r="BB31" i="3"/>
  <c r="BA31" i="3"/>
  <c r="AZ31" i="3"/>
  <c r="AY31" i="3"/>
  <c r="AX31" i="3"/>
  <c r="AW31" i="3"/>
  <c r="AV31" i="3"/>
  <c r="BU21" i="4"/>
  <c r="BS21" i="4"/>
  <c r="BR21" i="4"/>
  <c r="BQ21" i="4"/>
  <c r="BB21" i="4"/>
  <c r="AZ21" i="4"/>
  <c r="AY21" i="4"/>
  <c r="AX21" i="4"/>
  <c r="AW21" i="4"/>
  <c r="AV21" i="4"/>
  <c r="BW73" i="2"/>
  <c r="BV73" i="2"/>
  <c r="BU73" i="2"/>
  <c r="BT73" i="2"/>
  <c r="BS73" i="2"/>
  <c r="BR73" i="2"/>
  <c r="BQ73" i="2"/>
  <c r="BB73" i="2"/>
  <c r="BA73" i="2"/>
  <c r="AZ73" i="2"/>
  <c r="AY73" i="2"/>
  <c r="AX73" i="2"/>
  <c r="AW73" i="2"/>
  <c r="BW124" i="2"/>
  <c r="BU124" i="2"/>
  <c r="BT124" i="2"/>
  <c r="BS124" i="2"/>
  <c r="BR124" i="2"/>
  <c r="BQ124" i="2"/>
  <c r="BB124" i="2"/>
  <c r="BA124" i="2"/>
  <c r="AZ124" i="2"/>
  <c r="AY124" i="2"/>
  <c r="AX124" i="2"/>
  <c r="AW124" i="2"/>
  <c r="AV124" i="2"/>
  <c r="BW123" i="2"/>
  <c r="BU123" i="2"/>
  <c r="BT123" i="2"/>
  <c r="BS123" i="2"/>
  <c r="BR123" i="2"/>
  <c r="BQ123" i="2"/>
  <c r="BB123" i="2"/>
  <c r="BA123" i="2"/>
  <c r="AZ123" i="2"/>
  <c r="AY123" i="2"/>
  <c r="AX123" i="2"/>
  <c r="AW123" i="2"/>
  <c r="AV123" i="2"/>
  <c r="BW13" i="2"/>
  <c r="BV13" i="2"/>
  <c r="BU13" i="2"/>
  <c r="BT13" i="2"/>
  <c r="BB13" i="2"/>
  <c r="BA13" i="2"/>
  <c r="BW40" i="3"/>
  <c r="BV40" i="3"/>
  <c r="BU40" i="3"/>
  <c r="BT40" i="3"/>
  <c r="BS40" i="3"/>
  <c r="BR40" i="3"/>
  <c r="BQ40" i="3"/>
  <c r="BB40" i="3"/>
  <c r="BA40" i="3"/>
  <c r="AZ40" i="3"/>
  <c r="AY40" i="3"/>
  <c r="AX40" i="3"/>
  <c r="AW40" i="3"/>
  <c r="AV40" i="3"/>
  <c r="BW89" i="2"/>
  <c r="BV89" i="2"/>
  <c r="BU89" i="2"/>
  <c r="BT89" i="2"/>
  <c r="BB89" i="2"/>
  <c r="BA89" i="2"/>
  <c r="BU87" i="2"/>
  <c r="BS87" i="2"/>
  <c r="BR87" i="2"/>
  <c r="BQ87" i="2"/>
  <c r="BB87" i="2"/>
  <c r="AZ87" i="2"/>
  <c r="AY87" i="2"/>
  <c r="AX87" i="2"/>
  <c r="AW87" i="2"/>
  <c r="AV87" i="2"/>
  <c r="BU29" i="4"/>
  <c r="BS29" i="4"/>
  <c r="BR29" i="4"/>
  <c r="BQ29" i="4"/>
  <c r="BB29" i="4"/>
  <c r="AZ29" i="4"/>
  <c r="AY29" i="4"/>
  <c r="AX29" i="4"/>
  <c r="AW29" i="4"/>
  <c r="AV29" i="4"/>
  <c r="BU14" i="2"/>
  <c r="BS14" i="2"/>
  <c r="BR14" i="2"/>
  <c r="BQ14" i="2"/>
  <c r="BB14" i="2"/>
  <c r="AY14" i="2"/>
  <c r="BN14" i="2" s="1"/>
  <c r="AX14" i="2"/>
  <c r="AW14" i="2"/>
  <c r="AV14" i="2"/>
  <c r="BG14" i="2" s="1"/>
  <c r="BU11" i="3"/>
  <c r="BS11" i="3"/>
  <c r="BR11" i="3"/>
  <c r="BQ11" i="3"/>
  <c r="BB11" i="3"/>
  <c r="AZ11" i="3"/>
  <c r="AY11" i="3"/>
  <c r="AX11" i="3"/>
  <c r="AW11" i="3"/>
  <c r="AV11" i="3"/>
  <c r="AB11" i="3"/>
  <c r="AA11" i="3"/>
  <c r="BU16" i="3"/>
  <c r="BS16" i="3"/>
  <c r="BR16" i="3"/>
  <c r="BQ16" i="3"/>
  <c r="BB16" i="3"/>
  <c r="AZ16" i="3"/>
  <c r="AY16" i="3"/>
  <c r="AX16" i="3"/>
  <c r="AW16" i="3"/>
  <c r="AV16" i="3"/>
  <c r="BU15" i="3"/>
  <c r="BS15" i="3"/>
  <c r="BR15" i="3"/>
  <c r="BQ15" i="3"/>
  <c r="BB15" i="3"/>
  <c r="AZ15" i="3"/>
  <c r="AY15" i="3"/>
  <c r="AX15" i="3"/>
  <c r="AW15" i="3"/>
  <c r="AV15" i="3"/>
  <c r="BW23" i="2"/>
  <c r="BU23" i="2"/>
  <c r="BT23" i="2"/>
  <c r="BS23" i="2"/>
  <c r="BR23" i="2"/>
  <c r="BQ23" i="2"/>
  <c r="BB23" i="2"/>
  <c r="BA23" i="2"/>
  <c r="AZ23" i="2"/>
  <c r="AY23" i="2"/>
  <c r="AX23" i="2"/>
  <c r="AW23" i="2"/>
  <c r="AV23" i="2"/>
  <c r="BU25" i="2"/>
  <c r="BS25" i="2"/>
  <c r="BR25" i="2"/>
  <c r="BQ25" i="2"/>
  <c r="BB25" i="2"/>
  <c r="AZ25" i="2"/>
  <c r="AY25" i="2"/>
  <c r="AX25" i="2"/>
  <c r="AW25" i="2"/>
  <c r="AV25" i="2"/>
  <c r="BU24" i="2"/>
  <c r="BS24" i="2"/>
  <c r="BR24" i="2"/>
  <c r="BQ24" i="2"/>
  <c r="BB24" i="2"/>
  <c r="AZ24" i="2"/>
  <c r="AY24" i="2"/>
  <c r="AX24" i="2"/>
  <c r="AW24" i="2"/>
  <c r="AV24" i="2"/>
  <c r="BO44" i="3" l="1"/>
  <c r="BP44" i="3"/>
  <c r="BK52" i="3"/>
  <c r="BL52" i="3"/>
  <c r="BM52" i="3"/>
  <c r="BN52" i="3"/>
  <c r="BI52" i="3"/>
  <c r="BK23" i="2"/>
  <c r="BL23" i="2"/>
  <c r="BM23" i="2"/>
  <c r="BN23" i="2"/>
  <c r="BP23" i="2"/>
  <c r="BK14" i="2"/>
  <c r="BL14" i="2"/>
  <c r="BI14" i="2"/>
  <c r="BK87" i="2"/>
  <c r="BL87" i="2"/>
  <c r="BM87" i="2"/>
  <c r="BN87" i="2"/>
  <c r="BI87" i="2"/>
  <c r="BP89" i="2"/>
  <c r="BP13" i="2"/>
  <c r="BK123" i="2"/>
  <c r="BK124" i="2"/>
  <c r="BK68" i="2"/>
  <c r="BL68" i="2"/>
  <c r="BM68" i="2"/>
  <c r="BN68" i="2"/>
  <c r="BO68" i="2"/>
  <c r="BP68" i="2"/>
  <c r="BK69" i="2"/>
  <c r="BL69" i="2"/>
  <c r="BM69" i="2"/>
  <c r="BN69" i="2"/>
  <c r="BO69" i="2"/>
  <c r="BP69" i="2"/>
  <c r="BK39" i="2"/>
  <c r="BL39" i="2"/>
  <c r="BM39" i="2"/>
  <c r="BN39" i="2"/>
  <c r="BK91" i="2"/>
  <c r="BL91" i="2"/>
  <c r="BM91" i="2"/>
  <c r="BN91" i="2"/>
  <c r="BO91" i="2"/>
  <c r="BP91" i="2"/>
  <c r="BK38" i="2"/>
  <c r="BL38" i="2"/>
  <c r="BM38" i="2"/>
  <c r="BN38" i="2"/>
  <c r="BO38" i="2"/>
  <c r="BP38" i="2"/>
  <c r="BK41" i="2"/>
  <c r="BL41" i="2"/>
  <c r="BM41" i="2"/>
  <c r="BN41" i="2"/>
  <c r="BP82" i="2"/>
  <c r="BP57" i="2"/>
  <c r="BK31" i="3"/>
  <c r="BL31" i="3"/>
  <c r="BM31" i="3"/>
  <c r="BN31" i="3"/>
  <c r="BO31" i="3"/>
  <c r="BP31" i="3"/>
  <c r="BK12" i="3"/>
  <c r="BL12" i="3"/>
  <c r="BM12" i="3"/>
  <c r="BN12" i="3"/>
  <c r="BI12" i="3"/>
  <c r="BK17" i="3"/>
  <c r="BL17" i="3"/>
  <c r="BM17" i="3"/>
  <c r="BN17" i="3"/>
  <c r="BO17" i="3"/>
  <c r="BP17" i="3"/>
  <c r="BK18" i="3"/>
  <c r="BL18" i="3"/>
  <c r="BM18" i="3"/>
  <c r="BN18" i="3"/>
  <c r="BO18" i="3"/>
  <c r="BP18" i="3"/>
  <c r="BD52" i="3"/>
  <c r="BE52" i="3"/>
  <c r="BF52" i="3"/>
  <c r="BG52" i="3"/>
  <c r="BD18" i="3"/>
  <c r="BE18" i="3"/>
  <c r="BF18" i="3"/>
  <c r="BG18" i="3"/>
  <c r="BH18" i="3"/>
  <c r="BI18" i="3"/>
  <c r="BK23" i="4"/>
  <c r="BL23" i="4"/>
  <c r="BM23" i="4"/>
  <c r="BN23" i="4"/>
  <c r="BO23" i="4"/>
  <c r="BP23" i="4"/>
  <c r="BD41" i="2"/>
  <c r="BE41" i="2"/>
  <c r="BF41" i="2"/>
  <c r="BG41" i="2"/>
  <c r="BI41" i="2"/>
  <c r="BD38" i="2"/>
  <c r="BE38" i="2"/>
  <c r="BF38" i="2"/>
  <c r="BG38" i="2"/>
  <c r="BH38" i="2"/>
  <c r="BI38" i="2"/>
  <c r="BD91" i="2"/>
  <c r="BE91" i="2"/>
  <c r="BF91" i="2"/>
  <c r="BG91" i="2"/>
  <c r="BH91" i="2"/>
  <c r="BI91" i="2"/>
  <c r="BD23" i="4"/>
  <c r="BE23" i="4"/>
  <c r="BF23" i="4"/>
  <c r="BG23" i="4"/>
  <c r="BH23" i="4"/>
  <c r="BI23" i="4"/>
  <c r="BK21" i="4"/>
  <c r="BL21" i="4"/>
  <c r="BM21" i="4"/>
  <c r="BN21" i="4"/>
  <c r="BI21" i="4"/>
  <c r="BK14" i="4"/>
  <c r="BL14" i="4"/>
  <c r="BM14" i="4"/>
  <c r="BN14" i="4"/>
  <c r="BO14" i="4"/>
  <c r="BP14" i="4"/>
  <c r="BK13" i="4"/>
  <c r="BL13" i="4"/>
  <c r="BM13" i="4"/>
  <c r="BN13" i="4"/>
  <c r="BO13" i="4"/>
  <c r="BP13" i="4"/>
  <c r="BK24" i="2"/>
  <c r="BL24" i="2"/>
  <c r="BM24" i="2"/>
  <c r="BN24" i="2"/>
  <c r="BI24" i="2"/>
  <c r="BK25" i="2"/>
  <c r="BL25" i="2"/>
  <c r="BM25" i="2"/>
  <c r="BN25" i="2"/>
  <c r="BP10" i="2"/>
  <c r="BK40" i="2"/>
  <c r="BL40" i="2"/>
  <c r="BM40" i="2"/>
  <c r="BN40" i="2"/>
  <c r="BO40" i="2"/>
  <c r="BP40" i="2"/>
  <c r="BK43" i="2"/>
  <c r="BL43" i="2"/>
  <c r="BM43" i="2"/>
  <c r="BN43" i="2"/>
  <c r="BO43" i="2"/>
  <c r="BP43" i="2"/>
  <c r="BD39" i="2"/>
  <c r="BE39" i="2"/>
  <c r="BF39" i="2"/>
  <c r="BG39" i="2"/>
  <c r="BI39" i="2"/>
  <c r="BD13" i="4"/>
  <c r="BE13" i="4"/>
  <c r="BF13" i="4"/>
  <c r="BG13" i="4"/>
  <c r="BH13" i="4"/>
  <c r="BI13" i="4"/>
  <c r="BD17" i="3"/>
  <c r="BE17" i="3"/>
  <c r="BF17" i="3"/>
  <c r="BG17" i="3"/>
  <c r="BH17" i="3"/>
  <c r="BI17" i="3"/>
  <c r="BD43" i="2"/>
  <c r="BE43" i="2"/>
  <c r="BF43" i="2"/>
  <c r="BG43" i="2"/>
  <c r="BH43" i="2"/>
  <c r="BI43" i="2"/>
  <c r="BD40" i="2"/>
  <c r="BE40" i="2"/>
  <c r="BF40" i="2"/>
  <c r="BG40" i="2"/>
  <c r="BH40" i="2"/>
  <c r="BI40" i="2"/>
  <c r="BD14" i="4"/>
  <c r="BE14" i="4"/>
  <c r="BF14" i="4"/>
  <c r="BG14" i="4"/>
  <c r="BH14" i="4"/>
  <c r="BI14" i="4"/>
  <c r="BD12" i="3"/>
  <c r="BE12" i="3"/>
  <c r="BF12" i="3"/>
  <c r="BG12" i="3"/>
  <c r="BL123" i="2"/>
  <c r="BM123" i="2"/>
  <c r="BN123" i="2"/>
  <c r="BO123" i="2"/>
  <c r="BP123" i="2"/>
  <c r="BL124" i="2"/>
  <c r="BM124" i="2"/>
  <c r="BN124" i="2"/>
  <c r="BO124" i="2"/>
  <c r="BP124" i="2"/>
  <c r="BL73" i="2"/>
  <c r="BM73" i="2"/>
  <c r="BN73" i="2"/>
  <c r="BO73" i="2"/>
  <c r="BP73" i="2"/>
  <c r="BK72" i="2"/>
  <c r="BL72" i="2"/>
  <c r="BM72" i="2"/>
  <c r="BN72" i="2"/>
  <c r="BO72" i="2"/>
  <c r="BP72" i="2"/>
  <c r="BK71" i="2"/>
  <c r="BL71" i="2"/>
  <c r="BM71" i="2"/>
  <c r="BN71" i="2"/>
  <c r="BO71" i="2"/>
  <c r="BP71" i="2"/>
  <c r="BK70" i="2"/>
  <c r="BL70" i="2"/>
  <c r="BM70" i="2"/>
  <c r="BN70" i="2"/>
  <c r="BO70" i="2"/>
  <c r="BP70" i="2"/>
  <c r="BD69" i="2"/>
  <c r="BE69" i="2"/>
  <c r="BF69" i="2"/>
  <c r="BG69" i="2"/>
  <c r="BH69" i="2"/>
  <c r="BI69" i="2"/>
  <c r="BD70" i="2"/>
  <c r="BE70" i="2"/>
  <c r="BF70" i="2"/>
  <c r="BG70" i="2"/>
  <c r="BH70" i="2"/>
  <c r="BI70" i="2"/>
  <c r="BD71" i="2"/>
  <c r="BE71" i="2"/>
  <c r="BF71" i="2"/>
  <c r="BG71" i="2"/>
  <c r="BH71" i="2"/>
  <c r="BI71" i="2"/>
  <c r="BD72" i="2"/>
  <c r="BE72" i="2"/>
  <c r="BF72" i="2"/>
  <c r="BG72" i="2"/>
  <c r="BH72" i="2"/>
  <c r="BI72" i="2"/>
  <c r="BD68" i="2"/>
  <c r="BE68" i="2"/>
  <c r="BF68" i="2"/>
  <c r="BG68" i="2"/>
  <c r="BH68" i="2"/>
  <c r="BI68" i="2"/>
  <c r="BD31" i="3"/>
  <c r="BE31" i="3"/>
  <c r="BF31" i="3"/>
  <c r="BG31" i="3"/>
  <c r="BH31" i="3"/>
  <c r="BI31" i="3"/>
  <c r="BD21" i="4"/>
  <c r="BE21" i="4"/>
  <c r="BF21" i="4"/>
  <c r="BG21" i="4"/>
  <c r="BD123" i="2"/>
  <c r="BE123" i="2"/>
  <c r="BF123" i="2"/>
  <c r="BG123" i="2"/>
  <c r="BH123" i="2"/>
  <c r="BI123" i="2"/>
  <c r="BD124" i="2"/>
  <c r="BE124" i="2"/>
  <c r="BF124" i="2"/>
  <c r="BG124" i="2"/>
  <c r="BH124" i="2"/>
  <c r="BI124" i="2"/>
  <c r="BK29" i="4"/>
  <c r="BL29" i="4"/>
  <c r="BM29" i="4"/>
  <c r="BN29" i="4"/>
  <c r="BI29" i="4"/>
  <c r="BK40" i="3"/>
  <c r="BL40" i="3"/>
  <c r="BM40" i="3"/>
  <c r="BN40" i="3"/>
  <c r="BO40" i="3"/>
  <c r="BP40" i="3"/>
  <c r="BK11" i="3"/>
  <c r="BL11" i="3"/>
  <c r="BM11" i="3"/>
  <c r="BN11" i="3"/>
  <c r="BI11" i="3"/>
  <c r="BD40" i="3"/>
  <c r="BE40" i="3"/>
  <c r="BF40" i="3"/>
  <c r="BG40" i="3"/>
  <c r="BH40" i="3"/>
  <c r="BI40" i="3"/>
  <c r="BD87" i="2"/>
  <c r="BE87" i="2"/>
  <c r="BF87" i="2"/>
  <c r="BG87" i="2"/>
  <c r="BD29" i="4"/>
  <c r="BE29" i="4"/>
  <c r="BF29" i="4"/>
  <c r="BG29" i="4"/>
  <c r="BD14" i="2"/>
  <c r="BE14" i="2"/>
  <c r="BF14" i="2"/>
  <c r="BM14" i="2"/>
  <c r="BD11" i="3"/>
  <c r="BE11" i="3"/>
  <c r="BF11" i="3"/>
  <c r="BG11" i="3"/>
  <c r="BK15" i="3"/>
  <c r="BL15" i="3"/>
  <c r="BM15" i="3"/>
  <c r="BN15" i="3"/>
  <c r="BI15" i="3"/>
  <c r="BK16" i="3"/>
  <c r="BL16" i="3"/>
  <c r="BM16" i="3"/>
  <c r="BN16" i="3"/>
  <c r="BI16" i="3"/>
  <c r="BD16" i="3"/>
  <c r="BE16" i="3"/>
  <c r="BF16" i="3"/>
  <c r="BG16" i="3"/>
  <c r="BD15" i="3"/>
  <c r="BE15" i="3"/>
  <c r="BF15" i="3"/>
  <c r="BG15" i="3"/>
  <c r="BD23" i="2"/>
  <c r="BE23" i="2"/>
  <c r="BF23" i="2"/>
  <c r="BG23" i="2"/>
  <c r="BI23" i="2"/>
  <c r="BD24" i="2"/>
  <c r="BE24" i="2"/>
  <c r="BF24" i="2"/>
  <c r="BG24" i="2"/>
  <c r="BU8" i="4"/>
  <c r="BS8" i="4"/>
  <c r="BR8" i="4"/>
  <c r="BQ8" i="4"/>
  <c r="BB8" i="4"/>
  <c r="AZ8" i="4"/>
  <c r="AY8" i="4"/>
  <c r="AX8" i="4"/>
  <c r="AW8" i="4"/>
  <c r="AV8" i="4"/>
  <c r="BW28" i="2"/>
  <c r="BV28" i="2"/>
  <c r="BU28" i="2"/>
  <c r="BT28" i="2"/>
  <c r="BS28" i="2"/>
  <c r="BR28" i="2"/>
  <c r="BQ28" i="2"/>
  <c r="BB28" i="2"/>
  <c r="BA28" i="2"/>
  <c r="AZ28" i="2"/>
  <c r="AY28" i="2"/>
  <c r="AX28" i="2"/>
  <c r="AW28" i="2"/>
  <c r="AV28" i="2"/>
  <c r="BW3" i="4"/>
  <c r="BU3" i="4"/>
  <c r="BT3" i="4"/>
  <c r="BS3" i="4"/>
  <c r="BR3" i="4"/>
  <c r="BQ3" i="4"/>
  <c r="BB3" i="4"/>
  <c r="BA3" i="4"/>
  <c r="AZ3" i="4"/>
  <c r="AY3" i="4"/>
  <c r="AX3" i="4"/>
  <c r="BW9" i="3"/>
  <c r="BV9" i="3"/>
  <c r="BU9" i="3"/>
  <c r="BT9" i="3"/>
  <c r="BS9" i="3"/>
  <c r="BR9" i="3"/>
  <c r="BQ9" i="3"/>
  <c r="BB9" i="3"/>
  <c r="BA9" i="3"/>
  <c r="AZ9" i="3"/>
  <c r="AY9" i="3"/>
  <c r="AX9" i="3"/>
  <c r="AW9" i="3"/>
  <c r="AV9" i="3"/>
  <c r="AB9" i="3"/>
  <c r="Z9" i="3"/>
  <c r="Y9" i="3"/>
  <c r="BW27" i="3"/>
  <c r="BV27" i="3"/>
  <c r="BU27" i="3"/>
  <c r="BT27" i="3"/>
  <c r="BS27" i="3"/>
  <c r="BR27" i="3"/>
  <c r="BQ27" i="3"/>
  <c r="BB27" i="3"/>
  <c r="BA27" i="3"/>
  <c r="AZ27" i="3"/>
  <c r="BW63" i="2"/>
  <c r="BV63" i="2"/>
  <c r="BU63" i="2"/>
  <c r="BT63" i="2"/>
  <c r="BS63" i="2"/>
  <c r="BR63" i="2"/>
  <c r="BQ63" i="2"/>
  <c r="BB63" i="2"/>
  <c r="BA63" i="2"/>
  <c r="AZ63" i="2"/>
  <c r="AY63" i="2"/>
  <c r="AX63" i="2"/>
  <c r="AW63" i="2"/>
  <c r="AV63" i="2"/>
  <c r="BU13" i="3"/>
  <c r="BB13" i="3"/>
  <c r="BK28" i="2" l="1"/>
  <c r="BL28" i="2"/>
  <c r="BM28" i="2"/>
  <c r="BN28" i="2"/>
  <c r="BO28" i="2"/>
  <c r="BP28" i="2"/>
  <c r="BM3" i="4"/>
  <c r="BN3" i="4"/>
  <c r="BO3" i="4"/>
  <c r="BP3" i="4"/>
  <c r="BM8" i="4"/>
  <c r="BN8" i="4"/>
  <c r="BO27" i="3"/>
  <c r="BP27" i="3"/>
  <c r="BK9" i="3"/>
  <c r="BL9" i="3"/>
  <c r="BM9" i="3"/>
  <c r="BN9" i="3"/>
  <c r="BO9" i="3"/>
  <c r="BP9" i="3"/>
  <c r="BD28" i="2"/>
  <c r="BE28" i="2"/>
  <c r="BF28" i="2"/>
  <c r="BG28" i="2"/>
  <c r="BH28" i="2"/>
  <c r="BI28" i="2"/>
  <c r="BD9" i="3"/>
  <c r="BE9" i="3"/>
  <c r="BF9" i="3"/>
  <c r="BG9" i="3"/>
  <c r="BH9" i="3"/>
  <c r="BI9" i="3"/>
  <c r="BK63" i="2"/>
  <c r="BL63" i="2"/>
  <c r="BM63" i="2"/>
  <c r="BN63" i="2"/>
  <c r="BO63" i="2"/>
  <c r="BP63" i="2"/>
  <c r="BD63" i="2"/>
  <c r="BE63" i="2"/>
  <c r="BF63" i="2"/>
  <c r="BG63" i="2"/>
  <c r="BH63" i="2"/>
  <c r="BI63" i="2"/>
  <c r="BU90" i="1"/>
  <c r="BT90" i="1"/>
  <c r="BS90" i="1"/>
  <c r="AZ90" i="1"/>
  <c r="BN90" i="1" s="1"/>
  <c r="BG90" i="1" l="1"/>
  <c r="BW23" i="3"/>
  <c r="BV23" i="3"/>
  <c r="BU23" i="3"/>
  <c r="BT23" i="3"/>
  <c r="BB23" i="3"/>
  <c r="BA23" i="3"/>
  <c r="BW35" i="3"/>
  <c r="BV35" i="3"/>
  <c r="BU35" i="3"/>
  <c r="BT35" i="3"/>
  <c r="BB35" i="3"/>
  <c r="BA35" i="3"/>
  <c r="BW34" i="3"/>
  <c r="BV34" i="3"/>
  <c r="BU34" i="3"/>
  <c r="BT34" i="3"/>
  <c r="BB34" i="3"/>
  <c r="BA34" i="3"/>
  <c r="BU216" i="1"/>
  <c r="BT216" i="1"/>
  <c r="BS216" i="1"/>
  <c r="BR216" i="1"/>
  <c r="BQ216" i="1"/>
  <c r="BP216" i="1"/>
  <c r="BO216" i="1"/>
  <c r="BF216" i="1"/>
  <c r="AZ216" i="1"/>
  <c r="BN216" i="1" s="1"/>
  <c r="AX216" i="1"/>
  <c r="BM216" i="1" s="1"/>
  <c r="AW216" i="1"/>
  <c r="AV216" i="1"/>
  <c r="AU216" i="1"/>
  <c r="BI216" i="1" s="1"/>
  <c r="BU66" i="1"/>
  <c r="BS66" i="1"/>
  <c r="BR66" i="1"/>
  <c r="AZ66" i="1"/>
  <c r="BN66" i="1" s="1"/>
  <c r="BW125" i="2"/>
  <c r="BV125" i="2"/>
  <c r="BU125" i="2"/>
  <c r="BT125" i="2"/>
  <c r="BS125" i="2"/>
  <c r="BR125" i="2"/>
  <c r="BQ125" i="2"/>
  <c r="BB125" i="2"/>
  <c r="BA125" i="2"/>
  <c r="AZ125" i="2"/>
  <c r="AY125" i="2"/>
  <c r="AX125" i="2"/>
  <c r="AW125" i="2"/>
  <c r="AV125" i="2"/>
  <c r="BU108" i="2"/>
  <c r="BB108" i="2"/>
  <c r="BS193" i="1"/>
  <c r="BS194" i="1"/>
  <c r="AZ194" i="1"/>
  <c r="AZ193" i="1"/>
  <c r="BW106" i="2"/>
  <c r="BV106" i="2"/>
  <c r="BU106" i="2"/>
  <c r="BT106" i="2"/>
  <c r="BS106" i="2"/>
  <c r="BR106" i="2"/>
  <c r="BQ106" i="2"/>
  <c r="BB106" i="2"/>
  <c r="BA106" i="2"/>
  <c r="AZ106" i="2"/>
  <c r="AY106" i="2"/>
  <c r="AX106" i="2"/>
  <c r="AW106" i="2"/>
  <c r="AV106" i="2"/>
  <c r="BJ216" i="1" l="1"/>
  <c r="BK216" i="1"/>
  <c r="BP34" i="3"/>
  <c r="BP35" i="3"/>
  <c r="BP23" i="3"/>
  <c r="BK106" i="2"/>
  <c r="BL106" i="2"/>
  <c r="BM106" i="2"/>
  <c r="BN106" i="2"/>
  <c r="BO106" i="2"/>
  <c r="BP106" i="2"/>
  <c r="BK125" i="2"/>
  <c r="BL125" i="2"/>
  <c r="BM125" i="2"/>
  <c r="BN125" i="2"/>
  <c r="BO125" i="2"/>
  <c r="BP125" i="2"/>
  <c r="BB216" i="1"/>
  <c r="BC216" i="1"/>
  <c r="BD216" i="1"/>
  <c r="BE216" i="1"/>
  <c r="BG216" i="1"/>
  <c r="BL216" i="1"/>
  <c r="BD125" i="2"/>
  <c r="BE125" i="2"/>
  <c r="BF125" i="2"/>
  <c r="BG125" i="2"/>
  <c r="BH125" i="2"/>
  <c r="BI125" i="2"/>
  <c r="BD106" i="2"/>
  <c r="BE106" i="2"/>
  <c r="BF106" i="2"/>
  <c r="BG106" i="2"/>
  <c r="BH106" i="2"/>
  <c r="BI106" i="2"/>
  <c r="BW107" i="2"/>
  <c r="BV107" i="2"/>
  <c r="BU107" i="2"/>
  <c r="BT107" i="2"/>
  <c r="BB107" i="2"/>
  <c r="BA107" i="2"/>
  <c r="BU192" i="1"/>
  <c r="BT192" i="1"/>
  <c r="AY192" i="1"/>
  <c r="BR192" i="1"/>
  <c r="BP107" i="2" l="1"/>
  <c r="BS192" i="1"/>
  <c r="AZ192" i="1"/>
  <c r="BN192" i="1" s="1"/>
  <c r="BW66" i="2"/>
  <c r="BV66" i="2"/>
  <c r="BU66" i="2"/>
  <c r="BT66" i="2"/>
  <c r="BJ66" i="2"/>
  <c r="BB66" i="2"/>
  <c r="BA66" i="2"/>
  <c r="AZ66" i="2"/>
  <c r="AY66" i="2"/>
  <c r="AX66" i="2"/>
  <c r="AW66" i="2"/>
  <c r="AV66" i="2"/>
  <c r="BW77" i="2"/>
  <c r="BV77" i="2"/>
  <c r="BU77" i="2"/>
  <c r="BT77" i="2"/>
  <c r="BS77" i="2"/>
  <c r="BR77" i="2"/>
  <c r="BQ77" i="2"/>
  <c r="BB77" i="2"/>
  <c r="BA77" i="2"/>
  <c r="AZ77" i="2"/>
  <c r="AY77" i="2"/>
  <c r="AX77" i="2"/>
  <c r="AW77" i="2"/>
  <c r="BL77" i="2" l="1"/>
  <c r="BM77" i="2"/>
  <c r="BN77" i="2"/>
  <c r="BO77" i="2"/>
  <c r="BP77" i="2"/>
  <c r="BK66" i="2"/>
  <c r="BL66" i="2"/>
  <c r="BM66" i="2"/>
  <c r="BN66" i="2"/>
  <c r="BO66" i="2"/>
  <c r="BP66" i="2"/>
  <c r="BD66" i="2"/>
  <c r="BE66" i="2"/>
  <c r="BF66" i="2"/>
  <c r="BG66" i="2"/>
  <c r="BH66" i="2"/>
  <c r="BI66" i="2"/>
  <c r="BW55" i="2"/>
  <c r="BU55" i="2"/>
  <c r="BT55" i="2"/>
  <c r="BB55" i="2"/>
  <c r="BP55" i="2" s="1"/>
  <c r="BW74" i="2"/>
  <c r="BV74" i="2"/>
  <c r="BU74" i="2"/>
  <c r="BT74" i="2"/>
  <c r="BS74" i="2"/>
  <c r="BR74" i="2"/>
  <c r="BQ74" i="2"/>
  <c r="BB74" i="2"/>
  <c r="BA74" i="2"/>
  <c r="AZ74" i="2"/>
  <c r="AY74" i="2"/>
  <c r="AX74" i="2"/>
  <c r="AW74" i="2"/>
  <c r="AV74" i="2"/>
  <c r="BW7" i="4"/>
  <c r="BU7" i="4"/>
  <c r="BT7" i="4"/>
  <c r="BS7" i="4"/>
  <c r="BR7" i="4"/>
  <c r="BQ7" i="4"/>
  <c r="BB7" i="4"/>
  <c r="BA7" i="4"/>
  <c r="AZ7" i="4"/>
  <c r="AY7" i="4"/>
  <c r="AX7" i="4"/>
  <c r="AW7" i="4"/>
  <c r="AV7" i="4"/>
  <c r="BW22" i="2"/>
  <c r="BU22" i="2"/>
  <c r="BT22" i="2"/>
  <c r="BS22" i="2"/>
  <c r="BR22" i="2"/>
  <c r="BQ22" i="2"/>
  <c r="BB22" i="2"/>
  <c r="BA22" i="2"/>
  <c r="AZ22" i="2"/>
  <c r="AY22" i="2"/>
  <c r="AX22" i="2"/>
  <c r="AW22" i="2"/>
  <c r="AV22" i="2"/>
  <c r="BW21" i="2"/>
  <c r="BV21" i="2"/>
  <c r="BU21" i="2"/>
  <c r="BT21" i="2"/>
  <c r="BS21" i="2"/>
  <c r="BR21" i="2"/>
  <c r="BQ21" i="2"/>
  <c r="BB21" i="2"/>
  <c r="BA21" i="2"/>
  <c r="AZ21" i="2"/>
  <c r="AY21" i="2"/>
  <c r="AX21" i="2"/>
  <c r="AW21" i="2"/>
  <c r="AV21" i="2"/>
  <c r="BU33" i="4"/>
  <c r="BB33" i="4"/>
  <c r="BK74" i="2" l="1"/>
  <c r="BL74" i="2"/>
  <c r="BM74" i="2"/>
  <c r="BN74" i="2"/>
  <c r="BO74" i="2"/>
  <c r="BP74" i="2"/>
  <c r="BD74" i="2"/>
  <c r="BE74" i="2"/>
  <c r="BF74" i="2"/>
  <c r="BG74" i="2"/>
  <c r="BH74" i="2"/>
  <c r="BI74" i="2"/>
  <c r="BK21" i="2"/>
  <c r="BL21" i="2"/>
  <c r="BM21" i="2"/>
  <c r="BN21" i="2"/>
  <c r="BO21" i="2"/>
  <c r="BP21" i="2"/>
  <c r="BK22" i="2"/>
  <c r="BL22" i="2"/>
  <c r="BM22" i="2"/>
  <c r="BN22" i="2"/>
  <c r="BO22" i="2"/>
  <c r="BP22" i="2"/>
  <c r="BK7" i="4"/>
  <c r="BL7" i="4"/>
  <c r="BM7" i="4"/>
  <c r="BN7" i="4"/>
  <c r="BO7" i="4"/>
  <c r="BP7" i="4"/>
  <c r="BD7" i="4"/>
  <c r="BE7" i="4"/>
  <c r="BF7" i="4"/>
  <c r="BG7" i="4"/>
  <c r="BH7" i="4"/>
  <c r="BI7" i="4"/>
  <c r="BD22" i="2"/>
  <c r="BE22" i="2"/>
  <c r="BF22" i="2"/>
  <c r="BG22" i="2"/>
  <c r="BH22" i="2"/>
  <c r="BI22" i="2"/>
  <c r="BD21" i="2"/>
  <c r="BE21" i="2"/>
  <c r="BF21" i="2"/>
  <c r="BG21" i="2"/>
  <c r="BH21" i="2"/>
  <c r="BI21" i="2"/>
  <c r="BW50" i="3"/>
  <c r="BV50" i="3"/>
  <c r="BU50" i="3"/>
  <c r="BT50" i="3"/>
  <c r="BS50" i="3"/>
  <c r="BR50" i="3"/>
  <c r="BQ50" i="3"/>
  <c r="BK50" i="3"/>
  <c r="BB50" i="3"/>
  <c r="BA50" i="3"/>
  <c r="AZ50" i="3"/>
  <c r="AY50" i="3"/>
  <c r="AX50" i="3"/>
  <c r="BL50" i="3" s="1"/>
  <c r="BW38" i="3"/>
  <c r="BV38" i="3"/>
  <c r="BU38" i="3"/>
  <c r="BT38" i="3"/>
  <c r="BS38" i="3"/>
  <c r="BR38" i="3"/>
  <c r="BQ38" i="3"/>
  <c r="BB38" i="3"/>
  <c r="BA38" i="3"/>
  <c r="AZ38" i="3"/>
  <c r="AY38" i="3"/>
  <c r="AX38" i="3"/>
  <c r="AW38" i="3"/>
  <c r="AV38" i="3"/>
  <c r="AA38" i="3"/>
  <c r="Y38" i="3"/>
  <c r="BW65" i="2"/>
  <c r="BV65" i="2"/>
  <c r="BU65" i="2"/>
  <c r="BT65" i="2"/>
  <c r="BS65" i="2"/>
  <c r="BR65" i="2"/>
  <c r="BQ65" i="2"/>
  <c r="BK65" i="2"/>
  <c r="BD65" i="2"/>
  <c r="BB65" i="2"/>
  <c r="BA65" i="2"/>
  <c r="AZ65" i="2"/>
  <c r="AY65" i="2"/>
  <c r="AX65" i="2"/>
  <c r="BL65" i="2" s="1"/>
  <c r="BW97" i="2"/>
  <c r="BV97" i="2"/>
  <c r="BU97" i="2"/>
  <c r="BT97" i="2"/>
  <c r="BS97" i="2"/>
  <c r="BR97" i="2"/>
  <c r="BQ97" i="2"/>
  <c r="BB97" i="2"/>
  <c r="BA97" i="2"/>
  <c r="AZ97" i="2"/>
  <c r="AY97" i="2"/>
  <c r="AX97" i="2"/>
  <c r="AW97" i="2"/>
  <c r="AV97" i="2"/>
  <c r="BW36" i="3"/>
  <c r="BV36" i="3"/>
  <c r="BU36" i="3"/>
  <c r="BT36" i="3"/>
  <c r="BS36" i="3"/>
  <c r="BR36" i="3"/>
  <c r="BQ36" i="3"/>
  <c r="BB36" i="3"/>
  <c r="BA36" i="3"/>
  <c r="AZ36" i="3"/>
  <c r="AY36" i="3"/>
  <c r="AX36" i="3"/>
  <c r="AW36" i="3"/>
  <c r="BU52" i="2"/>
  <c r="BB52" i="2"/>
  <c r="BL36" i="3" l="1"/>
  <c r="BM36" i="3"/>
  <c r="BN36" i="3"/>
  <c r="BO36" i="3"/>
  <c r="BP36" i="3"/>
  <c r="BK38" i="3"/>
  <c r="BL38" i="3"/>
  <c r="BM38" i="3"/>
  <c r="BN38" i="3"/>
  <c r="BO38" i="3"/>
  <c r="BP38" i="3"/>
  <c r="BM50" i="3"/>
  <c r="BN50" i="3"/>
  <c r="BO50" i="3"/>
  <c r="BP50" i="3"/>
  <c r="BK97" i="2"/>
  <c r="BL97" i="2"/>
  <c r="BM97" i="2"/>
  <c r="BN97" i="2"/>
  <c r="BM65" i="2"/>
  <c r="BN65" i="2"/>
  <c r="BO65" i="2"/>
  <c r="BP65" i="2"/>
  <c r="BD38" i="3"/>
  <c r="BE38" i="3"/>
  <c r="BF38" i="3"/>
  <c r="BG38" i="3"/>
  <c r="BH38" i="3"/>
  <c r="BI38" i="3"/>
  <c r="BE65" i="2"/>
  <c r="BF65" i="2"/>
  <c r="BG65" i="2"/>
  <c r="BH65" i="2"/>
  <c r="BI65" i="2"/>
  <c r="BO97" i="2"/>
  <c r="BP97" i="2"/>
  <c r="BD97" i="2"/>
  <c r="BE97" i="2"/>
  <c r="BF97" i="2"/>
  <c r="BG97" i="2"/>
  <c r="BH97" i="2"/>
  <c r="BI97" i="2"/>
  <c r="BU22" i="3"/>
  <c r="BR22" i="3"/>
  <c r="BQ22" i="3"/>
  <c r="BB22" i="3"/>
  <c r="AZ22" i="3"/>
  <c r="AY22" i="3"/>
  <c r="AX22" i="3"/>
  <c r="AW22" i="3"/>
  <c r="AV22" i="3"/>
  <c r="BU121" i="2"/>
  <c r="BS121" i="2"/>
  <c r="BR121" i="2"/>
  <c r="BQ121" i="2"/>
  <c r="BB121" i="2"/>
  <c r="BW94" i="2"/>
  <c r="BV94" i="2"/>
  <c r="BU94" i="2"/>
  <c r="BT94" i="2"/>
  <c r="BS94" i="2"/>
  <c r="BR94" i="2"/>
  <c r="BQ94" i="2"/>
  <c r="BB94" i="2"/>
  <c r="BA94" i="2"/>
  <c r="AZ94" i="2"/>
  <c r="AY94" i="2"/>
  <c r="AX94" i="2"/>
  <c r="AW94" i="2"/>
  <c r="AV94" i="2"/>
  <c r="BU28" i="3"/>
  <c r="BS28" i="3"/>
  <c r="BR28" i="3"/>
  <c r="BQ28" i="3"/>
  <c r="BB28" i="3"/>
  <c r="AZ28" i="3"/>
  <c r="AY28" i="3"/>
  <c r="AX28" i="3"/>
  <c r="AW28" i="3"/>
  <c r="AV28" i="3"/>
  <c r="Z28" i="3"/>
  <c r="Y28" i="3"/>
  <c r="BK28" i="3" l="1"/>
  <c r="BL28" i="3"/>
  <c r="BM28" i="3"/>
  <c r="BN28" i="3"/>
  <c r="BI28" i="3"/>
  <c r="BK22" i="3"/>
  <c r="BL22" i="3"/>
  <c r="BM22" i="3"/>
  <c r="BN22" i="3"/>
  <c r="BI22" i="3"/>
  <c r="BK94" i="2"/>
  <c r="BL94" i="2"/>
  <c r="BM94" i="2"/>
  <c r="BN94" i="2"/>
  <c r="BO94" i="2"/>
  <c r="BP94" i="2"/>
  <c r="BD22" i="3"/>
  <c r="BE22" i="3"/>
  <c r="BF22" i="3"/>
  <c r="BG22" i="3"/>
  <c r="BD94" i="2"/>
  <c r="BE94" i="2"/>
  <c r="BF94" i="2"/>
  <c r="BG94" i="2"/>
  <c r="BH94" i="2"/>
  <c r="BI94" i="2"/>
  <c r="BD28" i="3"/>
  <c r="BE28" i="3"/>
  <c r="BF28" i="3"/>
  <c r="BG28" i="3"/>
  <c r="BU103" i="2"/>
  <c r="BS103" i="2"/>
  <c r="BR103" i="2"/>
  <c r="BQ103" i="2"/>
  <c r="BB103" i="2"/>
  <c r="AZ103" i="2"/>
  <c r="AY103" i="2"/>
  <c r="AX103" i="2"/>
  <c r="AW103" i="2"/>
  <c r="AV103" i="2"/>
  <c r="BW16" i="4"/>
  <c r="BU16" i="4"/>
  <c r="BT16" i="4"/>
  <c r="BB16" i="4"/>
  <c r="BA16" i="4"/>
  <c r="BW80" i="2"/>
  <c r="BV80" i="2"/>
  <c r="BU80" i="2"/>
  <c r="BT80" i="2"/>
  <c r="BS80" i="2"/>
  <c r="BR80" i="2"/>
  <c r="BQ80" i="2"/>
  <c r="BB80" i="2"/>
  <c r="BA80" i="2"/>
  <c r="AZ80" i="2"/>
  <c r="AY80" i="2"/>
  <c r="BU11" i="2"/>
  <c r="BB11" i="2"/>
  <c r="BU53" i="2"/>
  <c r="BB53" i="2"/>
  <c r="BS88" i="1"/>
  <c r="AZ88" i="1"/>
  <c r="BU15" i="4"/>
  <c r="BU48" i="4" s="1"/>
  <c r="BB15" i="4"/>
  <c r="BS89" i="1"/>
  <c r="AZ89" i="1"/>
  <c r="BW76" i="2"/>
  <c r="BU76" i="2"/>
  <c r="BT76" i="2"/>
  <c r="BS76" i="2"/>
  <c r="BR76" i="2"/>
  <c r="BQ76" i="2"/>
  <c r="BB76" i="2"/>
  <c r="BA76" i="2"/>
  <c r="AZ76" i="2"/>
  <c r="AY76" i="2"/>
  <c r="AX76" i="2"/>
  <c r="AW76" i="2"/>
  <c r="AV76" i="2"/>
  <c r="BW17" i="2"/>
  <c r="BV17" i="2"/>
  <c r="BU17" i="2"/>
  <c r="BT17" i="2"/>
  <c r="BS17" i="2"/>
  <c r="BR17" i="2"/>
  <c r="BQ17" i="2"/>
  <c r="BB17" i="2"/>
  <c r="BA17" i="2"/>
  <c r="AZ17" i="2"/>
  <c r="AY17" i="2"/>
  <c r="AX17" i="2"/>
  <c r="AW17" i="2"/>
  <c r="AV17" i="2"/>
  <c r="BW18" i="2"/>
  <c r="BV18" i="2"/>
  <c r="BU18" i="2"/>
  <c r="BT18" i="2"/>
  <c r="BB18" i="2"/>
  <c r="BA18" i="2"/>
  <c r="BW39" i="3"/>
  <c r="BV39" i="3"/>
  <c r="BU39" i="3"/>
  <c r="BT39" i="3"/>
  <c r="BS39" i="3"/>
  <c r="BR39" i="3"/>
  <c r="BQ39" i="3"/>
  <c r="BB39" i="3"/>
  <c r="BA39" i="3"/>
  <c r="AZ39" i="3"/>
  <c r="AY39" i="3"/>
  <c r="AX39" i="3"/>
  <c r="AW39" i="3"/>
  <c r="AV39" i="3"/>
  <c r="BU46" i="2"/>
  <c r="BB46" i="2"/>
  <c r="BS80" i="1"/>
  <c r="AZ80" i="1"/>
  <c r="BU45" i="2"/>
  <c r="BB45" i="2"/>
  <c r="BW81" i="2"/>
  <c r="BV81" i="2"/>
  <c r="BU81" i="2"/>
  <c r="BT81" i="2"/>
  <c r="BS81" i="2"/>
  <c r="BR81" i="2"/>
  <c r="BQ81" i="2"/>
  <c r="BB81" i="2"/>
  <c r="BA81" i="2"/>
  <c r="AZ81" i="2"/>
  <c r="AY81" i="2"/>
  <c r="AX81" i="2"/>
  <c r="AW81" i="2"/>
  <c r="AV81" i="2"/>
  <c r="BW84" i="2"/>
  <c r="BV84" i="2"/>
  <c r="BU84" i="2"/>
  <c r="BT84" i="2"/>
  <c r="BB84" i="2"/>
  <c r="BA84" i="2"/>
  <c r="BW30" i="3"/>
  <c r="BV30" i="3"/>
  <c r="BU30" i="3"/>
  <c r="BT30" i="3"/>
  <c r="BS30" i="3"/>
  <c r="BR30" i="3"/>
  <c r="BQ30" i="3"/>
  <c r="BB30" i="3"/>
  <c r="BA30" i="3"/>
  <c r="AZ30" i="3"/>
  <c r="AY30" i="3"/>
  <c r="AX30" i="3"/>
  <c r="AW30" i="3"/>
  <c r="AV30" i="3"/>
  <c r="BW51" i="2"/>
  <c r="BU51" i="2"/>
  <c r="BT51" i="2"/>
  <c r="BB51" i="2"/>
  <c r="BA51" i="2"/>
  <c r="BV42" i="3"/>
  <c r="BU42" i="3"/>
  <c r="BT42" i="3"/>
  <c r="BB42" i="3"/>
  <c r="BA42" i="3"/>
  <c r="AZ42" i="3"/>
  <c r="AY42" i="3"/>
  <c r="AX42" i="3"/>
  <c r="AW42" i="3"/>
  <c r="AV42" i="3"/>
  <c r="BW43" i="3"/>
  <c r="BV43" i="3"/>
  <c r="BU43" i="3"/>
  <c r="BT43" i="3"/>
  <c r="BS43" i="3"/>
  <c r="BR43" i="3"/>
  <c r="BQ43" i="3"/>
  <c r="BB43" i="3"/>
  <c r="BA43" i="3"/>
  <c r="AZ43" i="3"/>
  <c r="AY43" i="3"/>
  <c r="AX43" i="3"/>
  <c r="AW43" i="3"/>
  <c r="AV43" i="3"/>
  <c r="BK43" i="3" l="1"/>
  <c r="BL43" i="3"/>
  <c r="BM43" i="3"/>
  <c r="BN43" i="3"/>
  <c r="BO43" i="3"/>
  <c r="BP43" i="3"/>
  <c r="BK42" i="3"/>
  <c r="BL42" i="3"/>
  <c r="BM42" i="3"/>
  <c r="BN42" i="3"/>
  <c r="BO42" i="3"/>
  <c r="BP42" i="3"/>
  <c r="BK39" i="3"/>
  <c r="BL39" i="3"/>
  <c r="BM39" i="3"/>
  <c r="BN39" i="3"/>
  <c r="BO39" i="3"/>
  <c r="BP39" i="3"/>
  <c r="BP18" i="2"/>
  <c r="BK17" i="2"/>
  <c r="BL17" i="2"/>
  <c r="BM17" i="2"/>
  <c r="BN17" i="2"/>
  <c r="BO17" i="2"/>
  <c r="BP17" i="2"/>
  <c r="BK103" i="2"/>
  <c r="BL103" i="2"/>
  <c r="BM103" i="2"/>
  <c r="BN103" i="2"/>
  <c r="BI103" i="2"/>
  <c r="BK30" i="3"/>
  <c r="BL30" i="3"/>
  <c r="BM30" i="3"/>
  <c r="BN30" i="3"/>
  <c r="BO30" i="3"/>
  <c r="BP30" i="3"/>
  <c r="BN80" i="2"/>
  <c r="BO80" i="2"/>
  <c r="BP80" i="2"/>
  <c r="BD103" i="2"/>
  <c r="BE103" i="2"/>
  <c r="BF103" i="2"/>
  <c r="BG103" i="2"/>
  <c r="BK76" i="2"/>
  <c r="BL76" i="2"/>
  <c r="BM76" i="2"/>
  <c r="BN76" i="2"/>
  <c r="BO76" i="2"/>
  <c r="BP76" i="2"/>
  <c r="BD76" i="2"/>
  <c r="BE76" i="2"/>
  <c r="BF76" i="2"/>
  <c r="BG76" i="2"/>
  <c r="BH76" i="2"/>
  <c r="BI76" i="2"/>
  <c r="BD17" i="2"/>
  <c r="BE17" i="2"/>
  <c r="BF17" i="2"/>
  <c r="BG17" i="2"/>
  <c r="BH17" i="2"/>
  <c r="BI17" i="2"/>
  <c r="BD39" i="3"/>
  <c r="BE39" i="3"/>
  <c r="BF39" i="3"/>
  <c r="BG39" i="3"/>
  <c r="BH39" i="3"/>
  <c r="BI39" i="3"/>
  <c r="BP51" i="2"/>
  <c r="BP84" i="2"/>
  <c r="BM81" i="2"/>
  <c r="BN81" i="2"/>
  <c r="BO81" i="2"/>
  <c r="BP81" i="2"/>
  <c r="BD30" i="3"/>
  <c r="BE30" i="3"/>
  <c r="BF30" i="3"/>
  <c r="BG30" i="3"/>
  <c r="BH30" i="3"/>
  <c r="BI30" i="3"/>
  <c r="BD42" i="3"/>
  <c r="BE42" i="3"/>
  <c r="BF42" i="3"/>
  <c r="BG42" i="3"/>
  <c r="BH42" i="3"/>
  <c r="BI42" i="3"/>
  <c r="BD43" i="3"/>
  <c r="BE43" i="3"/>
  <c r="BF43" i="3"/>
  <c r="BG43" i="3"/>
  <c r="BH43" i="3"/>
  <c r="BI43" i="3"/>
  <c r="BB56" i="3"/>
  <c r="AU56" i="3"/>
  <c r="AU55" i="3"/>
  <c r="AN56" i="3"/>
  <c r="AN55" i="3"/>
  <c r="AG56" i="3"/>
  <c r="X56" i="3"/>
  <c r="X55" i="3"/>
  <c r="Q56" i="3"/>
  <c r="Q55" i="3"/>
  <c r="L55" i="3"/>
  <c r="G55" i="3"/>
  <c r="BW36" i="2"/>
  <c r="BW85" i="2"/>
  <c r="BW98" i="2"/>
  <c r="BW105" i="2"/>
  <c r="BW122" i="2"/>
  <c r="BV85" i="2"/>
  <c r="BV98" i="2"/>
  <c r="BV105" i="2"/>
  <c r="BV122" i="2"/>
  <c r="BU36" i="2"/>
  <c r="BU122" i="2"/>
  <c r="BB36" i="2"/>
  <c r="BP36" i="2" s="1"/>
  <c r="BB122" i="2"/>
  <c r="BP122" i="2" s="1"/>
  <c r="AN142" i="2"/>
  <c r="AN141" i="2"/>
  <c r="AG142" i="2"/>
  <c r="X142" i="2"/>
  <c r="X141" i="2"/>
  <c r="Q142" i="2"/>
  <c r="Q141" i="2"/>
  <c r="L141" i="2"/>
  <c r="G141" i="2"/>
  <c r="BP48" i="4"/>
  <c r="AU48" i="4"/>
  <c r="AU47" i="4"/>
  <c r="X48" i="4"/>
  <c r="X47" i="4"/>
  <c r="Q48" i="4"/>
  <c r="Q47" i="4"/>
  <c r="L47" i="4"/>
  <c r="G47" i="4"/>
  <c r="BS4" i="1"/>
  <c r="BS10" i="1"/>
  <c r="BS15" i="1"/>
  <c r="BS16" i="1"/>
  <c r="BS18" i="1"/>
  <c r="BS19" i="1"/>
  <c r="BS22" i="1"/>
  <c r="BS24" i="1"/>
  <c r="BS27" i="1"/>
  <c r="BS28" i="1"/>
  <c r="BS30" i="1"/>
  <c r="BS31" i="1"/>
  <c r="BS32" i="1"/>
  <c r="BS33" i="1"/>
  <c r="BS34" i="1"/>
  <c r="BS35" i="1"/>
  <c r="BS37" i="1"/>
  <c r="BS39" i="1"/>
  <c r="BS40" i="1"/>
  <c r="BS41" i="1"/>
  <c r="BS43" i="1"/>
  <c r="BS44" i="1"/>
  <c r="BS45" i="1"/>
  <c r="BS46" i="1"/>
  <c r="BS50" i="1"/>
  <c r="BS51" i="1"/>
  <c r="BS52" i="1"/>
  <c r="BS59" i="1"/>
  <c r="BS60" i="1"/>
  <c r="BS61" i="1"/>
  <c r="BS68" i="1"/>
  <c r="BS69" i="1"/>
  <c r="BS70" i="1"/>
  <c r="BS71" i="1"/>
  <c r="BS72" i="1"/>
  <c r="BS73" i="1"/>
  <c r="BS74" i="1"/>
  <c r="BS75" i="1"/>
  <c r="BS76" i="1"/>
  <c r="BS77" i="1"/>
  <c r="BS79" i="1"/>
  <c r="BS85" i="1"/>
  <c r="BS86" i="1"/>
  <c r="BS87" i="1"/>
  <c r="BS92" i="1"/>
  <c r="BS94" i="1"/>
  <c r="BS96" i="1"/>
  <c r="BS97" i="1"/>
  <c r="BS98" i="1"/>
  <c r="BS99" i="1"/>
  <c r="BS100" i="1"/>
  <c r="BS101" i="1"/>
  <c r="BS109" i="1"/>
  <c r="BS110" i="1"/>
  <c r="BS112" i="1"/>
  <c r="BS113" i="1"/>
  <c r="BS114" i="1"/>
  <c r="BS115" i="1"/>
  <c r="BS116" i="1"/>
  <c r="BS119" i="1"/>
  <c r="BS120" i="1"/>
  <c r="BS121" i="1"/>
  <c r="BS122" i="1"/>
  <c r="BS123" i="1"/>
  <c r="BS124" i="1"/>
  <c r="BS125" i="1"/>
  <c r="BS127" i="1"/>
  <c r="BS128" i="1"/>
  <c r="BS129" i="1"/>
  <c r="BS130" i="1"/>
  <c r="BS131" i="1"/>
  <c r="BS133" i="1"/>
  <c r="BS134" i="1"/>
  <c r="BS136" i="1"/>
  <c r="BS137" i="1"/>
  <c r="BS138" i="1"/>
  <c r="BS139" i="1"/>
  <c r="BS143" i="1"/>
  <c r="BS144" i="1"/>
  <c r="BS145" i="1"/>
  <c r="BS149" i="1"/>
  <c r="BS150" i="1"/>
  <c r="BS151" i="1"/>
  <c r="BS152" i="1"/>
  <c r="BS155" i="1"/>
  <c r="BS156" i="1"/>
  <c r="BS157" i="1"/>
  <c r="BS160" i="1"/>
  <c r="BS162" i="1"/>
  <c r="BS163" i="1"/>
  <c r="BS166" i="1"/>
  <c r="BS167" i="1"/>
  <c r="BS168" i="1"/>
  <c r="BS171" i="1"/>
  <c r="BS174" i="1"/>
  <c r="BS175" i="1"/>
  <c r="BS178" i="1"/>
  <c r="BS179" i="1"/>
  <c r="BS183" i="1"/>
  <c r="BS184" i="1"/>
  <c r="BS185" i="1"/>
  <c r="BS188" i="1"/>
  <c r="BS189" i="1"/>
  <c r="BS191" i="1"/>
  <c r="BS195" i="1"/>
  <c r="BS196" i="1"/>
  <c r="BS197" i="1"/>
  <c r="BS214" i="1"/>
  <c r="BS215" i="1"/>
  <c r="BS217" i="1"/>
  <c r="BS218" i="1"/>
  <c r="BS219" i="1"/>
  <c r="BS221" i="1"/>
  <c r="BS226" i="1"/>
  <c r="BS234" i="1"/>
  <c r="BS243" i="1"/>
  <c r="BS244" i="1"/>
  <c r="BS245" i="1"/>
  <c r="BS246" i="1"/>
  <c r="BS247" i="1"/>
  <c r="BS249" i="1"/>
  <c r="BS3" i="1"/>
  <c r="BS252" i="1" s="1"/>
  <c r="AZ4" i="1"/>
  <c r="BG4" i="1" s="1"/>
  <c r="AZ10" i="1"/>
  <c r="AZ15" i="1"/>
  <c r="AZ16" i="1"/>
  <c r="AZ18" i="1"/>
  <c r="AZ19" i="1"/>
  <c r="AZ22" i="1"/>
  <c r="AZ24" i="1"/>
  <c r="AZ27" i="1"/>
  <c r="AZ28" i="1"/>
  <c r="AZ30" i="1"/>
  <c r="AZ31" i="1"/>
  <c r="AZ32" i="1"/>
  <c r="AZ33" i="1"/>
  <c r="AZ34" i="1"/>
  <c r="AZ35" i="1"/>
  <c r="AZ37" i="1"/>
  <c r="AZ39" i="1"/>
  <c r="AZ40" i="1"/>
  <c r="AZ41" i="1"/>
  <c r="AZ43" i="1"/>
  <c r="AZ44" i="1"/>
  <c r="AZ45" i="1"/>
  <c r="AZ46" i="1"/>
  <c r="AZ50" i="1"/>
  <c r="AZ51" i="1"/>
  <c r="AZ52" i="1"/>
  <c r="AZ59" i="1"/>
  <c r="AZ60" i="1"/>
  <c r="AZ61" i="1"/>
  <c r="AZ68" i="1"/>
  <c r="AZ69" i="1"/>
  <c r="AZ70" i="1"/>
  <c r="AZ71" i="1"/>
  <c r="AZ72" i="1"/>
  <c r="AZ73" i="1"/>
  <c r="AZ74" i="1"/>
  <c r="AZ75" i="1"/>
  <c r="AZ76" i="1"/>
  <c r="AZ77" i="1"/>
  <c r="AZ79" i="1"/>
  <c r="AZ85" i="1"/>
  <c r="AZ86" i="1"/>
  <c r="AZ87" i="1"/>
  <c r="AZ92" i="1"/>
  <c r="AZ94" i="1"/>
  <c r="AZ96" i="1"/>
  <c r="AZ97" i="1"/>
  <c r="AZ98" i="1"/>
  <c r="AZ99" i="1"/>
  <c r="AZ100" i="1"/>
  <c r="AZ101" i="1"/>
  <c r="AZ109" i="1"/>
  <c r="AZ110" i="1"/>
  <c r="AZ112" i="1"/>
  <c r="AZ113" i="1"/>
  <c r="AZ114" i="1"/>
  <c r="AZ115" i="1"/>
  <c r="AZ116" i="1"/>
  <c r="AZ119" i="1"/>
  <c r="AZ120" i="1"/>
  <c r="AZ121" i="1"/>
  <c r="AZ122" i="1"/>
  <c r="AZ123" i="1"/>
  <c r="AZ124" i="1"/>
  <c r="AZ125" i="1"/>
  <c r="AZ127" i="1"/>
  <c r="AZ128" i="1"/>
  <c r="AZ129" i="1"/>
  <c r="AZ130" i="1"/>
  <c r="AZ131" i="1"/>
  <c r="AZ133" i="1"/>
  <c r="AZ134" i="1"/>
  <c r="AZ136" i="1"/>
  <c r="AZ137" i="1"/>
  <c r="AZ138" i="1"/>
  <c r="AZ139" i="1"/>
  <c r="AZ143" i="1"/>
  <c r="AZ144" i="1"/>
  <c r="AZ145" i="1"/>
  <c r="AZ149" i="1"/>
  <c r="AZ150" i="1"/>
  <c r="AZ151" i="1"/>
  <c r="AZ152" i="1"/>
  <c r="AZ155" i="1"/>
  <c r="AZ156" i="1"/>
  <c r="AZ157" i="1"/>
  <c r="AZ160" i="1"/>
  <c r="AZ162" i="1"/>
  <c r="AZ163" i="1"/>
  <c r="AZ166" i="1"/>
  <c r="AZ167" i="1"/>
  <c r="AZ168" i="1"/>
  <c r="AZ171" i="1"/>
  <c r="AZ174" i="1"/>
  <c r="AZ175" i="1"/>
  <c r="AZ178" i="1"/>
  <c r="AZ179" i="1"/>
  <c r="AZ183" i="1"/>
  <c r="AZ184" i="1"/>
  <c r="AZ185" i="1"/>
  <c r="AZ188" i="1"/>
  <c r="AZ189" i="1"/>
  <c r="AZ191" i="1"/>
  <c r="AZ195" i="1"/>
  <c r="AZ196" i="1"/>
  <c r="AZ197" i="1"/>
  <c r="AZ214" i="1"/>
  <c r="AZ215" i="1"/>
  <c r="AZ217" i="1"/>
  <c r="AZ218" i="1"/>
  <c r="AZ219" i="1"/>
  <c r="AZ221" i="1"/>
  <c r="AZ226" i="1"/>
  <c r="AZ229" i="1"/>
  <c r="AZ234" i="1"/>
  <c r="AZ243" i="1"/>
  <c r="AZ244" i="1"/>
  <c r="AZ245" i="1"/>
  <c r="AZ246" i="1"/>
  <c r="AZ247" i="1"/>
  <c r="AZ249" i="1"/>
  <c r="AZ3" i="1"/>
  <c r="AZ252" i="1"/>
  <c r="AS252" i="1"/>
  <c r="AS251" i="1"/>
  <c r="AL252" i="1"/>
  <c r="AL251" i="1"/>
  <c r="AE252" i="1"/>
  <c r="X252" i="1"/>
  <c r="X251" i="1"/>
  <c r="Q252" i="1"/>
  <c r="Q251" i="1"/>
  <c r="L251" i="1"/>
  <c r="G251" i="1"/>
  <c r="BU15" i="1"/>
  <c r="BU18" i="1"/>
  <c r="BU21" i="1"/>
  <c r="BU22" i="1"/>
  <c r="BU24" i="1"/>
  <c r="BU30" i="1"/>
  <c r="BU32" i="1"/>
  <c r="BU33" i="1"/>
  <c r="BU37" i="1"/>
  <c r="BU39" i="1"/>
  <c r="BU40" i="1"/>
  <c r="BU41" i="1"/>
  <c r="BU44" i="1"/>
  <c r="BU52" i="1"/>
  <c r="BU59" i="1"/>
  <c r="BU60" i="1"/>
  <c r="BU61" i="1"/>
  <c r="BU68" i="1"/>
  <c r="BU69" i="1"/>
  <c r="BU70" i="1"/>
  <c r="BU71" i="1"/>
  <c r="BU73" i="1"/>
  <c r="BU75" i="1"/>
  <c r="BU76" i="1"/>
  <c r="BU77" i="1"/>
  <c r="BU85" i="1"/>
  <c r="BU86" i="1"/>
  <c r="BU92" i="1"/>
  <c r="BU94" i="1"/>
  <c r="BU97" i="1"/>
  <c r="BU98" i="1"/>
  <c r="BU99" i="1"/>
  <c r="BU101" i="1"/>
  <c r="BU109" i="1"/>
  <c r="BU110" i="1"/>
  <c r="BU112" i="1"/>
  <c r="BU114" i="1"/>
  <c r="BU115" i="1"/>
  <c r="BU116" i="1"/>
  <c r="BU119" i="1"/>
  <c r="BU120" i="1"/>
  <c r="BU121" i="1"/>
  <c r="BU122" i="1"/>
  <c r="BU123" i="1"/>
  <c r="BU124" i="1"/>
  <c r="BU125" i="1"/>
  <c r="BU128" i="1"/>
  <c r="BU129" i="1"/>
  <c r="BU130" i="1"/>
  <c r="BU131" i="1"/>
  <c r="BU133" i="1"/>
  <c r="BU134" i="1"/>
  <c r="BU136" i="1"/>
  <c r="BU137" i="1"/>
  <c r="BU138" i="1"/>
  <c r="BU139" i="1"/>
  <c r="BU143" i="1"/>
  <c r="BU144" i="1"/>
  <c r="BU145" i="1"/>
  <c r="BU149" i="1"/>
  <c r="BU150" i="1"/>
  <c r="BU151" i="1"/>
  <c r="BU152" i="1"/>
  <c r="BU155" i="1"/>
  <c r="BU156" i="1"/>
  <c r="BU157" i="1"/>
  <c r="BU166" i="1"/>
  <c r="BU167" i="1"/>
  <c r="BU171" i="1"/>
  <c r="BU174" i="1"/>
  <c r="BU175" i="1"/>
  <c r="BU178" i="1"/>
  <c r="BU183" i="1"/>
  <c r="BU184" i="1"/>
  <c r="BU188" i="1"/>
  <c r="BU189" i="1"/>
  <c r="BU191" i="1"/>
  <c r="BU195" i="1"/>
  <c r="BU215" i="1"/>
  <c r="BU217" i="1"/>
  <c r="BU218" i="1"/>
  <c r="BU219" i="1"/>
  <c r="BU226" i="1"/>
  <c r="BU234" i="1"/>
  <c r="BU244" i="1"/>
  <c r="BU247" i="1"/>
  <c r="BU249" i="1"/>
  <c r="BU3" i="1"/>
  <c r="BT15" i="1"/>
  <c r="BT21" i="1"/>
  <c r="BT22" i="1"/>
  <c r="BT24" i="1"/>
  <c r="BT30" i="1"/>
  <c r="BT32" i="1"/>
  <c r="BT33" i="1"/>
  <c r="BT37" i="1"/>
  <c r="BT39" i="1"/>
  <c r="BT52" i="1"/>
  <c r="BT59" i="1"/>
  <c r="BT60" i="1"/>
  <c r="BT61" i="1"/>
  <c r="BT68" i="1"/>
  <c r="BT73" i="1"/>
  <c r="BT75" i="1"/>
  <c r="BT77" i="1"/>
  <c r="BT98" i="1"/>
  <c r="BT99" i="1"/>
  <c r="BT101" i="1"/>
  <c r="BT109" i="1"/>
  <c r="BT110" i="1"/>
  <c r="BT112" i="1"/>
  <c r="BT114" i="1"/>
  <c r="BT115" i="1"/>
  <c r="BT116" i="1"/>
  <c r="BT119" i="1"/>
  <c r="BT120" i="1"/>
  <c r="BT121" i="1"/>
  <c r="BT122" i="1"/>
  <c r="BT124" i="1"/>
  <c r="BT128" i="1"/>
  <c r="BT129" i="1"/>
  <c r="BT130" i="1"/>
  <c r="BT131" i="1"/>
  <c r="BT133" i="1"/>
  <c r="BT137" i="1"/>
  <c r="BT138" i="1"/>
  <c r="BT139" i="1"/>
  <c r="BT144" i="1"/>
  <c r="BT145" i="1"/>
  <c r="BT149" i="1"/>
  <c r="BT150" i="1"/>
  <c r="BT152" i="1"/>
  <c r="BT155" i="1"/>
  <c r="BT156" i="1"/>
  <c r="BT166" i="1"/>
  <c r="BT167" i="1"/>
  <c r="BT171" i="1"/>
  <c r="BT174" i="1"/>
  <c r="BT175" i="1"/>
  <c r="BT178" i="1"/>
  <c r="BT179" i="1"/>
  <c r="BT183" i="1"/>
  <c r="BT188" i="1"/>
  <c r="BT189" i="1"/>
  <c r="BT191" i="1"/>
  <c r="BT195" i="1"/>
  <c r="BT196" i="1"/>
  <c r="BT215" i="1"/>
  <c r="BT219" i="1"/>
  <c r="BT226" i="1"/>
  <c r="BT249" i="1"/>
  <c r="BT3" i="1"/>
  <c r="BU142" i="2" l="1"/>
  <c r="BP142" i="2"/>
  <c r="BB48" i="4"/>
  <c r="BP56" i="3"/>
  <c r="BI56" i="3"/>
  <c r="BG128" i="1"/>
  <c r="BG112" i="1"/>
  <c r="BN92" i="1"/>
  <c r="BG30" i="1"/>
  <c r="BN27" i="1"/>
  <c r="BB142" i="2"/>
  <c r="BI122" i="2"/>
  <c r="BA56" i="3"/>
  <c r="AD56" i="3"/>
  <c r="AE56" i="3"/>
  <c r="AF56" i="3"/>
  <c r="BA142" i="2"/>
  <c r="AP141" i="2"/>
  <c r="AQ141" i="2"/>
  <c r="AR141" i="2"/>
  <c r="AS141" i="2"/>
  <c r="AT141" i="2"/>
  <c r="AO141" i="2"/>
  <c r="AI141" i="2"/>
  <c r="AJ141" i="2"/>
  <c r="AK141" i="2"/>
  <c r="AL141" i="2"/>
  <c r="AM141" i="2"/>
  <c r="AH141" i="2"/>
  <c r="AB142" i="2"/>
  <c r="AC142" i="2"/>
  <c r="AD142" i="2"/>
  <c r="AE142" i="2"/>
  <c r="AF142" i="2"/>
  <c r="S141" i="2"/>
  <c r="T141" i="2"/>
  <c r="U141" i="2"/>
  <c r="V141" i="2"/>
  <c r="W141" i="2"/>
  <c r="R141" i="2"/>
  <c r="N141" i="2"/>
  <c r="O141" i="2"/>
  <c r="P141" i="2"/>
  <c r="M141" i="2"/>
  <c r="I141" i="2"/>
  <c r="J141" i="2"/>
  <c r="K141" i="2"/>
  <c r="H141" i="2"/>
  <c r="D141" i="2"/>
  <c r="E141" i="2"/>
  <c r="F141" i="2"/>
  <c r="C141" i="2"/>
  <c r="Z48" i="4"/>
  <c r="AA48" i="4"/>
  <c r="AB48" i="4"/>
  <c r="AC48" i="4"/>
  <c r="AD48" i="4"/>
  <c r="AE48" i="4"/>
  <c r="AF48" i="4"/>
  <c r="Y48" i="4"/>
  <c r="AD252" i="1"/>
  <c r="AY189" i="1"/>
  <c r="BN189" i="1" s="1"/>
  <c r="AX189" i="1"/>
  <c r="AW189" i="1"/>
  <c r="AV189" i="1"/>
  <c r="AU189" i="1"/>
  <c r="BR92" i="1"/>
  <c r="AT56" i="3"/>
  <c r="AY112" i="1"/>
  <c r="BN112" i="1" s="1"/>
  <c r="AY4" i="1"/>
  <c r="BN4" i="1" s="1"/>
  <c r="AY5" i="1"/>
  <c r="AY6" i="1"/>
  <c r="BN6" i="1" s="1"/>
  <c r="AY7" i="1"/>
  <c r="AY8" i="1"/>
  <c r="BN8" i="1" s="1"/>
  <c r="AY9" i="1"/>
  <c r="BN9" i="1" s="1"/>
  <c r="AY13" i="1"/>
  <c r="AY15" i="1"/>
  <c r="BN15" i="1" s="1"/>
  <c r="AY17" i="1"/>
  <c r="AY18" i="1"/>
  <c r="BN18" i="1" s="1"/>
  <c r="AY21" i="1"/>
  <c r="BN21" i="1" s="1"/>
  <c r="AY22" i="1"/>
  <c r="BN22" i="1" s="1"/>
  <c r="AY24" i="1"/>
  <c r="BN24" i="1" s="1"/>
  <c r="AY30" i="1"/>
  <c r="BN30" i="1" s="1"/>
  <c r="AY32" i="1"/>
  <c r="BN32" i="1" s="1"/>
  <c r="AY33" i="1"/>
  <c r="BN33" i="1" s="1"/>
  <c r="AY37" i="1"/>
  <c r="BN37" i="1" s="1"/>
  <c r="AY39" i="1"/>
  <c r="BN39" i="1" s="1"/>
  <c r="AY40" i="1"/>
  <c r="BN40" i="1" s="1"/>
  <c r="AY41" i="1"/>
  <c r="BN41" i="1" s="1"/>
  <c r="AY42" i="1"/>
  <c r="AY44" i="1"/>
  <c r="BN44" i="1" s="1"/>
  <c r="AY52" i="1"/>
  <c r="BN52" i="1" s="1"/>
  <c r="AY54" i="1"/>
  <c r="AY57" i="1"/>
  <c r="AY59" i="1"/>
  <c r="BN59" i="1" s="1"/>
  <c r="AY60" i="1"/>
  <c r="BN60" i="1" s="1"/>
  <c r="AY61" i="1"/>
  <c r="AY63" i="1"/>
  <c r="AY64" i="1"/>
  <c r="AY65" i="1"/>
  <c r="AY67" i="1"/>
  <c r="AY68" i="1"/>
  <c r="BN68" i="1" s="1"/>
  <c r="AY69" i="1"/>
  <c r="BN69" i="1" s="1"/>
  <c r="AY70" i="1"/>
  <c r="BN70" i="1" s="1"/>
  <c r="AY71" i="1"/>
  <c r="AY73" i="1"/>
  <c r="BN73" i="1" s="1"/>
  <c r="AY75" i="1"/>
  <c r="BN75" i="1" s="1"/>
  <c r="AY76" i="1"/>
  <c r="BN76" i="1" s="1"/>
  <c r="AY77" i="1"/>
  <c r="BN77" i="1" s="1"/>
  <c r="AY83" i="1"/>
  <c r="AY84" i="1"/>
  <c r="AY85" i="1"/>
  <c r="BN85" i="1" s="1"/>
  <c r="AY86" i="1"/>
  <c r="BN86" i="1" s="1"/>
  <c r="AY93" i="1"/>
  <c r="AY94" i="1"/>
  <c r="BN94" i="1" s="1"/>
  <c r="AY97" i="1"/>
  <c r="BN97" i="1" s="1"/>
  <c r="AY98" i="1"/>
  <c r="BN98" i="1" s="1"/>
  <c r="AY99" i="1"/>
  <c r="BN99" i="1" s="1"/>
  <c r="AY101" i="1"/>
  <c r="BN101" i="1" s="1"/>
  <c r="AY102" i="1"/>
  <c r="AY103" i="1"/>
  <c r="AY104" i="1"/>
  <c r="AY106" i="1"/>
  <c r="AY107" i="1"/>
  <c r="AY109" i="1"/>
  <c r="BN109" i="1" s="1"/>
  <c r="AY110" i="1"/>
  <c r="BN110" i="1" s="1"/>
  <c r="AY114" i="1"/>
  <c r="BN114" i="1" s="1"/>
  <c r="AY115" i="1"/>
  <c r="BN115" i="1" s="1"/>
  <c r="AY116" i="1"/>
  <c r="BN116" i="1" s="1"/>
  <c r="AY117" i="1"/>
  <c r="AY118" i="1"/>
  <c r="AY119" i="1"/>
  <c r="BN119" i="1" s="1"/>
  <c r="AY120" i="1"/>
  <c r="BN120" i="1" s="1"/>
  <c r="AY121" i="1"/>
  <c r="BN121" i="1" s="1"/>
  <c r="AY122" i="1"/>
  <c r="BN122" i="1" s="1"/>
  <c r="AY123" i="1"/>
  <c r="BN123" i="1" s="1"/>
  <c r="AY124" i="1"/>
  <c r="BN124" i="1" s="1"/>
  <c r="AY125" i="1"/>
  <c r="BN125" i="1" s="1"/>
  <c r="AY128" i="1"/>
  <c r="BN128" i="1" s="1"/>
  <c r="AY129" i="1"/>
  <c r="BN129" i="1" s="1"/>
  <c r="AY130" i="1"/>
  <c r="BN130" i="1" s="1"/>
  <c r="AY131" i="1"/>
  <c r="BN131" i="1" s="1"/>
  <c r="AY133" i="1"/>
  <c r="BN133" i="1" s="1"/>
  <c r="AY134" i="1"/>
  <c r="BN134" i="1" s="1"/>
  <c r="AY135" i="1"/>
  <c r="AY136" i="1"/>
  <c r="BN136" i="1" s="1"/>
  <c r="AY137" i="1"/>
  <c r="BN137" i="1" s="1"/>
  <c r="AY138" i="1"/>
  <c r="BN138" i="1" s="1"/>
  <c r="AY139" i="1"/>
  <c r="BN139" i="1" s="1"/>
  <c r="AY140" i="1"/>
  <c r="AY142" i="1"/>
  <c r="AY143" i="1"/>
  <c r="BN143" i="1" s="1"/>
  <c r="AY144" i="1"/>
  <c r="BN144" i="1" s="1"/>
  <c r="AY145" i="1"/>
  <c r="BN145" i="1" s="1"/>
  <c r="AY149" i="1"/>
  <c r="BN149" i="1" s="1"/>
  <c r="AY150" i="1"/>
  <c r="BN150" i="1" s="1"/>
  <c r="AY151" i="1"/>
  <c r="BN151" i="1" s="1"/>
  <c r="AY152" i="1"/>
  <c r="BN152" i="1" s="1"/>
  <c r="AY155" i="1"/>
  <c r="BN155" i="1" s="1"/>
  <c r="AY156" i="1"/>
  <c r="BN156" i="1" s="1"/>
  <c r="AY157" i="1"/>
  <c r="BN157" i="1" s="1"/>
  <c r="AY166" i="1"/>
  <c r="AY167" i="1"/>
  <c r="BN167" i="1" s="1"/>
  <c r="AY169" i="1"/>
  <c r="AY170" i="1"/>
  <c r="AY171" i="1"/>
  <c r="BN171" i="1" s="1"/>
  <c r="AY174" i="1"/>
  <c r="BN174" i="1" s="1"/>
  <c r="AY175" i="1"/>
  <c r="BN175" i="1" s="1"/>
  <c r="AY177" i="1"/>
  <c r="AY178" i="1"/>
  <c r="BN178" i="1" s="1"/>
  <c r="AY179" i="1"/>
  <c r="BN179" i="1" s="1"/>
  <c r="AY180" i="1"/>
  <c r="AY181" i="1"/>
  <c r="AY183" i="1"/>
  <c r="BN183" i="1" s="1"/>
  <c r="AY184" i="1"/>
  <c r="BN184" i="1" s="1"/>
  <c r="AY188" i="1"/>
  <c r="BN188" i="1" s="1"/>
  <c r="AY190" i="1"/>
  <c r="AY191" i="1"/>
  <c r="BN191" i="1" s="1"/>
  <c r="AY195" i="1"/>
  <c r="AY196" i="1"/>
  <c r="BN196" i="1" s="1"/>
  <c r="AY198" i="1"/>
  <c r="AY205" i="1"/>
  <c r="AY206" i="1"/>
  <c r="AY207" i="1"/>
  <c r="AY210" i="1"/>
  <c r="AY212" i="1"/>
  <c r="AY215" i="1"/>
  <c r="BN215" i="1" s="1"/>
  <c r="AY217" i="1"/>
  <c r="BN217" i="1" s="1"/>
  <c r="AY218" i="1"/>
  <c r="BN218" i="1" s="1"/>
  <c r="AY219" i="1"/>
  <c r="BN219" i="1" s="1"/>
  <c r="AY222" i="1"/>
  <c r="BN222" i="1" s="1"/>
  <c r="AY223" i="1"/>
  <c r="BN223" i="1" s="1"/>
  <c r="AY224" i="1"/>
  <c r="AY226" i="1"/>
  <c r="BN226" i="1" s="1"/>
  <c r="AY227" i="1"/>
  <c r="AY228" i="1"/>
  <c r="AY234" i="1"/>
  <c r="BN234" i="1" s="1"/>
  <c r="AY238" i="1"/>
  <c r="BN244" i="1"/>
  <c r="AY247" i="1"/>
  <c r="BN247" i="1" s="1"/>
  <c r="AY248" i="1"/>
  <c r="AY249" i="1"/>
  <c r="BN249" i="1" s="1"/>
  <c r="AY3" i="1"/>
  <c r="AY252" i="1" s="1"/>
  <c r="AR252" i="1"/>
  <c r="BN7" i="1" l="1"/>
  <c r="BN195" i="1"/>
  <c r="BN166" i="1"/>
  <c r="BN71" i="1"/>
  <c r="BN3" i="1"/>
  <c r="BN252" i="1" s="1"/>
  <c r="BT38" i="4"/>
  <c r="BS38" i="4"/>
  <c r="BR38" i="4"/>
  <c r="BQ38" i="4"/>
  <c r="AZ38" i="4"/>
  <c r="BO38" i="4" s="1"/>
  <c r="AY38" i="4"/>
  <c r="AX38" i="4"/>
  <c r="AW38" i="4"/>
  <c r="AV38" i="4"/>
  <c r="BT37" i="4"/>
  <c r="BS37" i="4"/>
  <c r="BR37" i="4"/>
  <c r="BQ37" i="4"/>
  <c r="AZ37" i="4"/>
  <c r="BO37" i="4" s="1"/>
  <c r="AY37" i="4"/>
  <c r="AX37" i="4"/>
  <c r="AV206" i="1"/>
  <c r="AW206" i="1"/>
  <c r="AX206" i="1"/>
  <c r="BM206" i="1" s="1"/>
  <c r="BK206" i="1"/>
  <c r="BL206" i="1"/>
  <c r="BO206" i="1"/>
  <c r="BP206" i="1"/>
  <c r="BQ206" i="1"/>
  <c r="BR206" i="1"/>
  <c r="BT120" i="2"/>
  <c r="BT118" i="2"/>
  <c r="BT110" i="2"/>
  <c r="BS110" i="2"/>
  <c r="BR110" i="2"/>
  <c r="BQ110" i="2"/>
  <c r="AZ110" i="2"/>
  <c r="AY110" i="2"/>
  <c r="AX110" i="2"/>
  <c r="AW110" i="2"/>
  <c r="AV110" i="2"/>
  <c r="BT109" i="2"/>
  <c r="BR212" i="1"/>
  <c r="BR199" i="1"/>
  <c r="BR198" i="1"/>
  <c r="BR207" i="1"/>
  <c r="BR210" i="1"/>
  <c r="BR205" i="1"/>
  <c r="BR68" i="1"/>
  <c r="BR75" i="1"/>
  <c r="BR71" i="1"/>
  <c r="BR73" i="1"/>
  <c r="BR76" i="1"/>
  <c r="BR70" i="1"/>
  <c r="BR69" i="1"/>
  <c r="BT128" i="2"/>
  <c r="BR228" i="1"/>
  <c r="BF228" i="1"/>
  <c r="AT142" i="2"/>
  <c r="AT47" i="4"/>
  <c r="AM252" i="1"/>
  <c r="BR136" i="1"/>
  <c r="AO56" i="3"/>
  <c r="AM56" i="3"/>
  <c r="AH56" i="3"/>
  <c r="AH55" i="3"/>
  <c r="AM55" i="3"/>
  <c r="AO55" i="3"/>
  <c r="AT55" i="3"/>
  <c r="W56" i="3"/>
  <c r="V56" i="3"/>
  <c r="U56" i="3"/>
  <c r="T56" i="3"/>
  <c r="S56" i="3"/>
  <c r="R56" i="3"/>
  <c r="P56" i="3"/>
  <c r="O56" i="3"/>
  <c r="N56" i="3"/>
  <c r="M56" i="3"/>
  <c r="R55" i="3"/>
  <c r="S55" i="3"/>
  <c r="T55" i="3"/>
  <c r="U55" i="3"/>
  <c r="V55" i="3"/>
  <c r="W55" i="3"/>
  <c r="I55" i="3"/>
  <c r="J55" i="3"/>
  <c r="C55" i="3"/>
  <c r="D55" i="3"/>
  <c r="E55" i="3"/>
  <c r="F55" i="3"/>
  <c r="H55" i="3"/>
  <c r="K55" i="3"/>
  <c r="M55" i="3"/>
  <c r="N55" i="3"/>
  <c r="O55" i="3"/>
  <c r="P55" i="3"/>
  <c r="BT51" i="3"/>
  <c r="BS51" i="3"/>
  <c r="BR51" i="3"/>
  <c r="BQ51" i="3"/>
  <c r="AS51" i="3"/>
  <c r="AR51" i="3"/>
  <c r="AQ51" i="3"/>
  <c r="AP51" i="3"/>
  <c r="AL51" i="3"/>
  <c r="AL56" i="3" s="1"/>
  <c r="AK51" i="3"/>
  <c r="AK56" i="3" s="1"/>
  <c r="AJ51" i="3"/>
  <c r="AJ56" i="3" s="1"/>
  <c r="AI51" i="3"/>
  <c r="AI56" i="3" s="1"/>
  <c r="AC51" i="3"/>
  <c r="AB51" i="3"/>
  <c r="AA51" i="3"/>
  <c r="Z51" i="3"/>
  <c r="Y51" i="3"/>
  <c r="BT49" i="3"/>
  <c r="BT47" i="3"/>
  <c r="BS47" i="3"/>
  <c r="BR47" i="3"/>
  <c r="BQ47" i="3"/>
  <c r="AZ47" i="3"/>
  <c r="BO47" i="3" s="1"/>
  <c r="AY47" i="3"/>
  <c r="AX47" i="3"/>
  <c r="AW47" i="3"/>
  <c r="AV47" i="3"/>
  <c r="BT41" i="3"/>
  <c r="BS41" i="3"/>
  <c r="BR41" i="3"/>
  <c r="AZ41" i="3"/>
  <c r="BO41" i="3" s="1"/>
  <c r="AY41" i="3"/>
  <c r="AX41" i="3"/>
  <c r="AW41" i="3"/>
  <c r="AV41" i="3"/>
  <c r="BT33" i="3"/>
  <c r="AZ33" i="3"/>
  <c r="BO33" i="3" s="1"/>
  <c r="AY33" i="3"/>
  <c r="AX33" i="3"/>
  <c r="AW33" i="3"/>
  <c r="AV33" i="3"/>
  <c r="BT26" i="3"/>
  <c r="BS26" i="3"/>
  <c r="BR26" i="3"/>
  <c r="AZ26" i="3"/>
  <c r="BO26" i="3" s="1"/>
  <c r="AY26" i="3"/>
  <c r="AX26" i="3"/>
  <c r="AW26" i="3"/>
  <c r="AV26" i="3"/>
  <c r="BT25" i="3"/>
  <c r="BO25" i="3"/>
  <c r="BT14" i="3"/>
  <c r="BR109" i="1"/>
  <c r="AS142" i="2"/>
  <c r="AR142" i="2"/>
  <c r="AQ142" i="2"/>
  <c r="AP142" i="2"/>
  <c r="AO142" i="2"/>
  <c r="AM142" i="2"/>
  <c r="AL142" i="2"/>
  <c r="AK142" i="2"/>
  <c r="AJ142" i="2"/>
  <c r="AI142" i="2"/>
  <c r="AH142" i="2"/>
  <c r="W142" i="2"/>
  <c r="V142" i="2"/>
  <c r="U142" i="2"/>
  <c r="T142" i="2"/>
  <c r="S142" i="2"/>
  <c r="R142" i="2"/>
  <c r="P142" i="2"/>
  <c r="O142" i="2"/>
  <c r="N142" i="2"/>
  <c r="M142" i="2"/>
  <c r="BT122" i="2"/>
  <c r="BS122" i="2"/>
  <c r="BR122" i="2"/>
  <c r="BQ122" i="2"/>
  <c r="BH122" i="2"/>
  <c r="AZ122" i="2"/>
  <c r="BO122" i="2" s="1"/>
  <c r="AY122" i="2"/>
  <c r="AX122" i="2"/>
  <c r="AW122" i="2"/>
  <c r="BK122" i="2" s="1"/>
  <c r="BT105" i="2"/>
  <c r="BS100" i="2"/>
  <c r="BR100" i="2"/>
  <c r="BQ100" i="2"/>
  <c r="AZ100" i="2"/>
  <c r="AY100" i="2"/>
  <c r="AX100" i="2"/>
  <c r="AW100" i="2"/>
  <c r="AV100" i="2"/>
  <c r="BI100" i="2" s="1"/>
  <c r="BI142" i="2" s="1"/>
  <c r="Z100" i="2"/>
  <c r="BT99" i="2"/>
  <c r="BS99" i="2"/>
  <c r="BR99" i="2"/>
  <c r="BQ99" i="2"/>
  <c r="AZ99" i="2"/>
  <c r="BO99" i="2" s="1"/>
  <c r="AY99" i="2"/>
  <c r="AX99" i="2"/>
  <c r="AW99" i="2"/>
  <c r="AV99" i="2"/>
  <c r="BT98" i="2"/>
  <c r="BS98" i="2"/>
  <c r="BR98" i="2"/>
  <c r="BQ98" i="2"/>
  <c r="AZ98" i="2"/>
  <c r="BO98" i="2" s="1"/>
  <c r="AY98" i="2"/>
  <c r="AX98" i="2"/>
  <c r="AW98" i="2"/>
  <c r="AV98" i="2"/>
  <c r="BT96" i="2"/>
  <c r="BS96" i="2"/>
  <c r="AZ96" i="2"/>
  <c r="BO96" i="2" s="1"/>
  <c r="BS95" i="2"/>
  <c r="BR95" i="2"/>
  <c r="BQ95" i="2"/>
  <c r="AZ95" i="2"/>
  <c r="AY95" i="2"/>
  <c r="AX95" i="2"/>
  <c r="AW95" i="2"/>
  <c r="AV95" i="2"/>
  <c r="BT90" i="2"/>
  <c r="BT85" i="2"/>
  <c r="BS83" i="2"/>
  <c r="BR83" i="2"/>
  <c r="BQ83" i="2"/>
  <c r="AZ83" i="2"/>
  <c r="AY83" i="2"/>
  <c r="AX83" i="2"/>
  <c r="BT78" i="2"/>
  <c r="BT75" i="2"/>
  <c r="BS75" i="2"/>
  <c r="BR75" i="2"/>
  <c r="BQ75" i="2"/>
  <c r="AZ75" i="2"/>
  <c r="BO75" i="2" s="1"/>
  <c r="AY75" i="2"/>
  <c r="AX75" i="2"/>
  <c r="AW75" i="2"/>
  <c r="AV75" i="2"/>
  <c r="AT120" i="1"/>
  <c r="BG120" i="1" s="1"/>
  <c r="AU120" i="1"/>
  <c r="AV120" i="1"/>
  <c r="AW120" i="1"/>
  <c r="AX120" i="1"/>
  <c r="BM120" i="1" s="1"/>
  <c r="BB120" i="1"/>
  <c r="BC120" i="1"/>
  <c r="BD120" i="1"/>
  <c r="BE120" i="1"/>
  <c r="BF120" i="1"/>
  <c r="BI120" i="1"/>
  <c r="BJ120" i="1"/>
  <c r="BK120" i="1"/>
  <c r="BL120" i="1"/>
  <c r="BO120" i="1"/>
  <c r="BP120" i="1"/>
  <c r="BQ120" i="1"/>
  <c r="BR120" i="1"/>
  <c r="Y121" i="1"/>
  <c r="Z121" i="1"/>
  <c r="AA121" i="1"/>
  <c r="AT121" i="1"/>
  <c r="BG121" i="1" s="1"/>
  <c r="AU121" i="1"/>
  <c r="AV121" i="1"/>
  <c r="AW121" i="1"/>
  <c r="AX121" i="1"/>
  <c r="BM121" i="1" s="1"/>
  <c r="BB121" i="1"/>
  <c r="BC121" i="1"/>
  <c r="BD121" i="1"/>
  <c r="BE121" i="1"/>
  <c r="BF121" i="1"/>
  <c r="BI121" i="1"/>
  <c r="BJ121" i="1"/>
  <c r="BK121" i="1"/>
  <c r="BL121" i="1"/>
  <c r="BO121" i="1"/>
  <c r="BP121" i="1"/>
  <c r="BQ121" i="1"/>
  <c r="BR121" i="1"/>
  <c r="AT122" i="1"/>
  <c r="BG122" i="1" s="1"/>
  <c r="AU122" i="1"/>
  <c r="AV122" i="1"/>
  <c r="AW122" i="1"/>
  <c r="AX122" i="1"/>
  <c r="BM122" i="1" s="1"/>
  <c r="BB122" i="1"/>
  <c r="BC122" i="1"/>
  <c r="BD122" i="1"/>
  <c r="BE122" i="1"/>
  <c r="BF122" i="1"/>
  <c r="BI122" i="1"/>
  <c r="BJ122" i="1"/>
  <c r="BK122" i="1"/>
  <c r="BL122" i="1"/>
  <c r="BO122" i="1"/>
  <c r="BP122" i="1"/>
  <c r="BQ122" i="1"/>
  <c r="BR122" i="1"/>
  <c r="BT62" i="2"/>
  <c r="BS62" i="2"/>
  <c r="BR62" i="2"/>
  <c r="BQ62" i="2"/>
  <c r="AZ62" i="2"/>
  <c r="AY62" i="2"/>
  <c r="AX62" i="2"/>
  <c r="AW62" i="2"/>
  <c r="AV62" i="2"/>
  <c r="BT60" i="2"/>
  <c r="BS60" i="2"/>
  <c r="BR60" i="2"/>
  <c r="BQ60" i="2"/>
  <c r="AZ60" i="2"/>
  <c r="BO60" i="2" s="1"/>
  <c r="AY60" i="2"/>
  <c r="AX60" i="2"/>
  <c r="AW60" i="2"/>
  <c r="AV60" i="2"/>
  <c r="BT49" i="2"/>
  <c r="BS49" i="2"/>
  <c r="BR49" i="2"/>
  <c r="BQ49" i="2"/>
  <c r="AZ49" i="2"/>
  <c r="BO49" i="2" s="1"/>
  <c r="AY49" i="2"/>
  <c r="AX49" i="2"/>
  <c r="AW49" i="2"/>
  <c r="AV49" i="2"/>
  <c r="BT48" i="2"/>
  <c r="BS48" i="2"/>
  <c r="BR48" i="2"/>
  <c r="BQ48" i="2"/>
  <c r="AZ48" i="2"/>
  <c r="BO48" i="2" s="1"/>
  <c r="AY48" i="2"/>
  <c r="AX48" i="2"/>
  <c r="AW48" i="2"/>
  <c r="AV48" i="2"/>
  <c r="BT37" i="2"/>
  <c r="BT36" i="2"/>
  <c r="BT35" i="2"/>
  <c r="BS35" i="2"/>
  <c r="BR35" i="2"/>
  <c r="BQ35" i="2"/>
  <c r="AZ35" i="2"/>
  <c r="BO35" i="2" s="1"/>
  <c r="AY35" i="2"/>
  <c r="AX35" i="2"/>
  <c r="AW35" i="2"/>
  <c r="AV35" i="2"/>
  <c r="BT34" i="2"/>
  <c r="BT33" i="2"/>
  <c r="BQ59" i="1"/>
  <c r="BP59" i="1"/>
  <c r="BO59" i="1"/>
  <c r="AX59" i="1"/>
  <c r="BM59" i="1" s="1"/>
  <c r="AW59" i="1"/>
  <c r="AV59" i="1"/>
  <c r="AU59" i="1"/>
  <c r="AT59" i="1"/>
  <c r="BR59" i="1"/>
  <c r="BT27" i="2"/>
  <c r="AZ9" i="2"/>
  <c r="AY9" i="2"/>
  <c r="AX9" i="2"/>
  <c r="AW9" i="2"/>
  <c r="AV9" i="2"/>
  <c r="BT8" i="2"/>
  <c r="BT142" i="2" s="1"/>
  <c r="BS8" i="2"/>
  <c r="BR8" i="2"/>
  <c r="BQ8" i="2"/>
  <c r="AZ8" i="2"/>
  <c r="AY8" i="2"/>
  <c r="AX8" i="2"/>
  <c r="AW8" i="2"/>
  <c r="AV8" i="2"/>
  <c r="BA48" i="4"/>
  <c r="AT48" i="4"/>
  <c r="AS48" i="4"/>
  <c r="AR48" i="4"/>
  <c r="AQ48" i="4"/>
  <c r="AP48" i="4"/>
  <c r="AO48" i="4"/>
  <c r="AO47" i="4"/>
  <c r="AP47" i="4"/>
  <c r="AQ47" i="4"/>
  <c r="AR47" i="4"/>
  <c r="AS47" i="4"/>
  <c r="AM48" i="4"/>
  <c r="AL48" i="4"/>
  <c r="AK48" i="4"/>
  <c r="AJ48" i="4"/>
  <c r="AI48" i="4"/>
  <c r="AH48" i="4"/>
  <c r="AJ47" i="4"/>
  <c r="AK47" i="4"/>
  <c r="AL47" i="4"/>
  <c r="AI47" i="4"/>
  <c r="AM47" i="4"/>
  <c r="AH47" i="4"/>
  <c r="W48" i="4"/>
  <c r="V48" i="4"/>
  <c r="U48" i="4"/>
  <c r="T48" i="4"/>
  <c r="S48" i="4"/>
  <c r="R48" i="4"/>
  <c r="R47" i="4"/>
  <c r="S47" i="4"/>
  <c r="T47" i="4"/>
  <c r="U47" i="4"/>
  <c r="V47" i="4"/>
  <c r="W47" i="4"/>
  <c r="P48" i="4"/>
  <c r="O48" i="4"/>
  <c r="N48" i="4"/>
  <c r="M48" i="4"/>
  <c r="P47" i="4"/>
  <c r="O47" i="4"/>
  <c r="N47" i="4"/>
  <c r="M47" i="4"/>
  <c r="K47" i="4"/>
  <c r="J47" i="4"/>
  <c r="I47" i="4"/>
  <c r="H47" i="4"/>
  <c r="BR67" i="1"/>
  <c r="BR65" i="1"/>
  <c r="BF59" i="1" l="1"/>
  <c r="BG59" i="1"/>
  <c r="BH26" i="3"/>
  <c r="BH41" i="3"/>
  <c r="BH47" i="3"/>
  <c r="BI47" i="3"/>
  <c r="BH33" i="3"/>
  <c r="BH38" i="4"/>
  <c r="BH35" i="2"/>
  <c r="BH48" i="2"/>
  <c r="BH49" i="2"/>
  <c r="BH60" i="2"/>
  <c r="BH75" i="2"/>
  <c r="BH98" i="2"/>
  <c r="BH99" i="2"/>
  <c r="BH8" i="2"/>
  <c r="BH142" i="2" s="1"/>
  <c r="BO8" i="2"/>
  <c r="BO142" i="2" s="1"/>
  <c r="BM37" i="4"/>
  <c r="BK38" i="4"/>
  <c r="BL38" i="4"/>
  <c r="BM38" i="4"/>
  <c r="BK110" i="2"/>
  <c r="BL110" i="2"/>
  <c r="BM110" i="2"/>
  <c r="BN110" i="2"/>
  <c r="BK26" i="3"/>
  <c r="BL26" i="3"/>
  <c r="BM26" i="3"/>
  <c r="BK33" i="3"/>
  <c r="BL33" i="3"/>
  <c r="BM33" i="3"/>
  <c r="BK41" i="3"/>
  <c r="BL41" i="3"/>
  <c r="BM41" i="3"/>
  <c r="BK47" i="3"/>
  <c r="BL47" i="3"/>
  <c r="BM47" i="3"/>
  <c r="AW51" i="3"/>
  <c r="AX51" i="3"/>
  <c r="AY51" i="3"/>
  <c r="AZ51" i="3"/>
  <c r="AS55" i="3"/>
  <c r="AR55" i="3"/>
  <c r="AQ55" i="3"/>
  <c r="AP55" i="3"/>
  <c r="AI55" i="3"/>
  <c r="AK55" i="3"/>
  <c r="AJ55" i="3"/>
  <c r="AL55" i="3"/>
  <c r="AP56" i="3"/>
  <c r="AQ56" i="3"/>
  <c r="AR56" i="3"/>
  <c r="AS56" i="3"/>
  <c r="BD38" i="4"/>
  <c r="BE38" i="4"/>
  <c r="BF38" i="4"/>
  <c r="BG38" i="4"/>
  <c r="BN38" i="4"/>
  <c r="BN37" i="4"/>
  <c r="BD110" i="2"/>
  <c r="BE110" i="2"/>
  <c r="BF110" i="2"/>
  <c r="BG110" i="2"/>
  <c r="BI59" i="1"/>
  <c r="BJ59" i="1"/>
  <c r="BK59" i="1"/>
  <c r="BK95" i="2"/>
  <c r="BL95" i="2"/>
  <c r="BM95" i="2"/>
  <c r="BN95" i="2"/>
  <c r="BK98" i="2"/>
  <c r="BL98" i="2"/>
  <c r="BM98" i="2"/>
  <c r="BK99" i="2"/>
  <c r="BL99" i="2"/>
  <c r="BM99" i="2"/>
  <c r="BK100" i="2"/>
  <c r="BL100" i="2"/>
  <c r="BM100" i="2"/>
  <c r="BN100" i="2"/>
  <c r="BL122" i="2"/>
  <c r="BM122" i="2"/>
  <c r="BO51" i="3"/>
  <c r="BO56" i="3" s="1"/>
  <c r="BN51" i="3"/>
  <c r="BL51" i="3"/>
  <c r="BM51" i="3"/>
  <c r="BD47" i="3"/>
  <c r="BE47" i="3"/>
  <c r="BF47" i="3"/>
  <c r="BG47" i="3"/>
  <c r="BN47" i="3"/>
  <c r="BD41" i="3"/>
  <c r="BE41" i="3"/>
  <c r="BF41" i="3"/>
  <c r="BG41" i="3"/>
  <c r="BN41" i="3"/>
  <c r="BD33" i="3"/>
  <c r="BE33" i="3"/>
  <c r="BF33" i="3"/>
  <c r="BG33" i="3"/>
  <c r="BN33" i="3"/>
  <c r="BD26" i="3"/>
  <c r="BE26" i="3"/>
  <c r="BF26" i="3"/>
  <c r="BG26" i="3"/>
  <c r="BN26" i="3"/>
  <c r="BD122" i="2"/>
  <c r="BE122" i="2"/>
  <c r="BF122" i="2"/>
  <c r="BG122" i="2"/>
  <c r="BN122" i="2"/>
  <c r="BD98" i="2"/>
  <c r="BE98" i="2"/>
  <c r="BF98" i="2"/>
  <c r="BG98" i="2"/>
  <c r="BN98" i="2"/>
  <c r="BD99" i="2"/>
  <c r="BE99" i="2"/>
  <c r="BF99" i="2"/>
  <c r="BG99" i="2"/>
  <c r="BN99" i="2"/>
  <c r="BD100" i="2"/>
  <c r="BE100" i="2"/>
  <c r="BF100" i="2"/>
  <c r="BG100" i="2"/>
  <c r="BD95" i="2"/>
  <c r="BE95" i="2"/>
  <c r="BF95" i="2"/>
  <c r="BG95" i="2"/>
  <c r="BK75" i="2"/>
  <c r="BL75" i="2"/>
  <c r="BM75" i="2"/>
  <c r="BM83" i="2"/>
  <c r="BN83" i="2"/>
  <c r="BD75" i="2"/>
  <c r="BE75" i="2"/>
  <c r="BF75" i="2"/>
  <c r="BG75" i="2"/>
  <c r="BN75" i="2"/>
  <c r="BK35" i="2"/>
  <c r="BL35" i="2"/>
  <c r="BM35" i="2"/>
  <c r="BK48" i="2"/>
  <c r="BL48" i="2"/>
  <c r="BM48" i="2"/>
  <c r="BK49" i="2"/>
  <c r="BL49" i="2"/>
  <c r="BM49" i="2"/>
  <c r="BK60" i="2"/>
  <c r="BL60" i="2"/>
  <c r="BM60" i="2"/>
  <c r="BK62" i="2"/>
  <c r="BL62" i="2"/>
  <c r="BM62" i="2"/>
  <c r="BN62" i="2"/>
  <c r="BD62" i="2"/>
  <c r="BE62" i="2"/>
  <c r="BF62" i="2"/>
  <c r="BG62" i="2"/>
  <c r="BD60" i="2"/>
  <c r="BE60" i="2"/>
  <c r="BF60" i="2"/>
  <c r="BG60" i="2"/>
  <c r="BN60" i="2"/>
  <c r="BD48" i="2"/>
  <c r="BE48" i="2"/>
  <c r="BF48" i="2"/>
  <c r="BG48" i="2"/>
  <c r="BN48" i="2"/>
  <c r="BD49" i="2"/>
  <c r="BE49" i="2"/>
  <c r="BF49" i="2"/>
  <c r="BG49" i="2"/>
  <c r="BN49" i="2"/>
  <c r="BD35" i="2"/>
  <c r="BE35" i="2"/>
  <c r="BF35" i="2"/>
  <c r="BG35" i="2"/>
  <c r="BN35" i="2"/>
  <c r="BB59" i="1"/>
  <c r="BC59" i="1"/>
  <c r="BD59" i="1"/>
  <c r="BE59" i="1"/>
  <c r="BL59" i="1"/>
  <c r="BK8" i="2"/>
  <c r="BL8" i="2"/>
  <c r="BM8" i="2"/>
  <c r="BK9" i="2"/>
  <c r="BL9" i="2"/>
  <c r="BM9" i="2"/>
  <c r="BN9" i="2"/>
  <c r="BD8" i="2"/>
  <c r="BE8" i="2"/>
  <c r="BF8" i="2"/>
  <c r="BG8" i="2"/>
  <c r="BN8" i="2"/>
  <c r="BD9" i="2"/>
  <c r="BE9" i="2"/>
  <c r="BF9" i="2"/>
  <c r="BG9" i="2"/>
  <c r="F47" i="4"/>
  <c r="E47" i="4"/>
  <c r="D47" i="4"/>
  <c r="C47" i="4"/>
  <c r="BT45" i="4"/>
  <c r="BS45" i="4"/>
  <c r="AZ45" i="4"/>
  <c r="BO45" i="4" s="1"/>
  <c r="BT24" i="4"/>
  <c r="BH141" i="1"/>
  <c r="BT19" i="4"/>
  <c r="BS19" i="4"/>
  <c r="BR19" i="4"/>
  <c r="AZ19" i="4"/>
  <c r="BO19" i="4" s="1"/>
  <c r="BH115" i="1"/>
  <c r="BT17" i="4"/>
  <c r="BS17" i="4"/>
  <c r="BR17" i="4"/>
  <c r="BQ17" i="4"/>
  <c r="AZ17" i="4"/>
  <c r="BO17" i="4" s="1"/>
  <c r="AY17" i="4"/>
  <c r="AX17" i="4"/>
  <c r="BT11" i="4"/>
  <c r="BT48" i="4" s="1"/>
  <c r="W252" i="1"/>
  <c r="V252" i="1"/>
  <c r="U252" i="1"/>
  <c r="T252" i="1"/>
  <c r="S252" i="1"/>
  <c r="R252" i="1"/>
  <c r="P252" i="1"/>
  <c r="O252" i="1"/>
  <c r="N252" i="1"/>
  <c r="M252" i="1"/>
  <c r="AK252" i="1"/>
  <c r="AF252" i="1"/>
  <c r="BH56" i="3" l="1"/>
  <c r="BO48" i="4"/>
  <c r="BM17" i="4"/>
  <c r="BN17" i="4"/>
  <c r="BR57" i="1"/>
  <c r="BR54" i="1"/>
  <c r="BR130" i="1"/>
  <c r="BR77" i="1"/>
  <c r="BR83" i="1"/>
  <c r="BR84" i="1"/>
  <c r="BR145" i="1"/>
  <c r="BR106" i="1"/>
  <c r="BF106" i="1"/>
  <c r="BR107" i="1"/>
  <c r="BR13" i="1"/>
  <c r="BR104" i="1"/>
  <c r="BH48" i="4" l="1"/>
  <c r="BR152" i="1"/>
  <c r="BR195" i="1" l="1"/>
  <c r="AR251" i="1"/>
  <c r="AM251" i="1"/>
  <c r="AK251" i="1"/>
  <c r="AF251" i="1"/>
  <c r="W251" i="1"/>
  <c r="V251" i="1"/>
  <c r="U251" i="1"/>
  <c r="T251" i="1"/>
  <c r="S251" i="1"/>
  <c r="R251" i="1"/>
  <c r="P251" i="1"/>
  <c r="O251" i="1"/>
  <c r="N251" i="1"/>
  <c r="C251" i="1"/>
  <c r="D251" i="1"/>
  <c r="E251" i="1"/>
  <c r="H251" i="1"/>
  <c r="I251" i="1"/>
  <c r="J251" i="1"/>
  <c r="M251" i="1"/>
  <c r="K251" i="1"/>
  <c r="F251" i="1"/>
  <c r="BR5" i="1"/>
  <c r="BR6" i="1"/>
  <c r="BR7" i="1"/>
  <c r="BR8" i="1"/>
  <c r="BR9" i="1"/>
  <c r="BR15" i="1"/>
  <c r="BR17" i="1"/>
  <c r="BR18" i="1"/>
  <c r="BR21" i="1"/>
  <c r="BR22" i="1"/>
  <c r="BR24" i="1"/>
  <c r="BR30" i="1"/>
  <c r="BR32" i="1"/>
  <c r="BR33" i="1"/>
  <c r="BR37" i="1"/>
  <c r="BR39" i="1"/>
  <c r="BR40" i="1"/>
  <c r="BR41" i="1"/>
  <c r="BR42" i="1"/>
  <c r="BR44" i="1"/>
  <c r="BR60" i="1"/>
  <c r="BR61" i="1"/>
  <c r="BR63" i="1"/>
  <c r="BR64" i="1"/>
  <c r="BR85" i="1"/>
  <c r="BR86" i="1"/>
  <c r="BR93" i="1"/>
  <c r="BR94" i="1"/>
  <c r="BR97" i="1"/>
  <c r="BR98" i="1"/>
  <c r="BR99" i="1"/>
  <c r="BR101" i="1"/>
  <c r="BR102" i="1"/>
  <c r="BR103" i="1"/>
  <c r="BR110" i="1"/>
  <c r="BR112" i="1"/>
  <c r="BR114" i="1"/>
  <c r="BR115" i="1"/>
  <c r="BR116" i="1"/>
  <c r="BR117" i="1"/>
  <c r="BR118" i="1"/>
  <c r="BR119" i="1"/>
  <c r="BR123" i="1"/>
  <c r="BR124" i="1"/>
  <c r="BR125" i="1"/>
  <c r="BR128" i="1"/>
  <c r="BR129" i="1"/>
  <c r="BR131" i="1"/>
  <c r="BR133" i="1"/>
  <c r="BR134" i="1"/>
  <c r="BR135" i="1"/>
  <c r="BR137" i="1"/>
  <c r="BR138" i="1"/>
  <c r="BR139" i="1"/>
  <c r="BR140" i="1"/>
  <c r="BR142" i="1"/>
  <c r="BR143" i="1"/>
  <c r="BR144" i="1"/>
  <c r="BR149" i="1"/>
  <c r="BR150" i="1"/>
  <c r="BR151" i="1"/>
  <c r="BR155" i="1"/>
  <c r="BR156" i="1"/>
  <c r="BR157" i="1"/>
  <c r="BR166" i="1"/>
  <c r="BR167" i="1"/>
  <c r="BR169" i="1"/>
  <c r="BR170" i="1"/>
  <c r="BR171" i="1"/>
  <c r="BR174" i="1"/>
  <c r="BR175" i="1"/>
  <c r="BR177" i="1"/>
  <c r="BR178" i="1"/>
  <c r="BR179" i="1"/>
  <c r="BR180" i="1"/>
  <c r="BR181" i="1"/>
  <c r="BR183" i="1"/>
  <c r="BR184" i="1"/>
  <c r="BR188" i="1"/>
  <c r="BR189" i="1"/>
  <c r="BR190" i="1"/>
  <c r="BR191" i="1"/>
  <c r="BR196" i="1"/>
  <c r="BR215" i="1"/>
  <c r="BR217" i="1"/>
  <c r="BR218" i="1"/>
  <c r="BR219" i="1"/>
  <c r="BR222" i="1"/>
  <c r="BR223" i="1"/>
  <c r="BR224" i="1"/>
  <c r="BR226" i="1"/>
  <c r="BR227" i="1"/>
  <c r="BR234" i="1"/>
  <c r="BR238" i="1"/>
  <c r="BR244" i="1"/>
  <c r="BR247" i="1"/>
  <c r="BR248" i="1"/>
  <c r="BR249" i="1"/>
  <c r="BF30" i="1"/>
  <c r="BF42" i="1"/>
  <c r="BF102" i="1"/>
  <c r="BF112" i="1"/>
  <c r="BF248" i="1"/>
  <c r="BR4" i="1" l="1"/>
  <c r="BR3" i="1"/>
  <c r="BR252" i="1" s="1"/>
  <c r="AT115" i="1"/>
  <c r="AU115" i="1"/>
  <c r="AV115" i="1"/>
  <c r="BJ115" i="1"/>
  <c r="AW115" i="1"/>
  <c r="BK115" i="1"/>
  <c r="AX115" i="1"/>
  <c r="BM115" i="1" s="1"/>
  <c r="BB115" i="1"/>
  <c r="BC115" i="1"/>
  <c r="BD115" i="1"/>
  <c r="BE115" i="1"/>
  <c r="BI115" i="1"/>
  <c r="BS43" i="4"/>
  <c r="BR43" i="4"/>
  <c r="BQ43" i="4"/>
  <c r="AZ43" i="4"/>
  <c r="AY43" i="4"/>
  <c r="AX43" i="4"/>
  <c r="AW43" i="4"/>
  <c r="AV43" i="4"/>
  <c r="BS42" i="4"/>
  <c r="BR42" i="4"/>
  <c r="BQ42" i="4"/>
  <c r="AZ42" i="4"/>
  <c r="AY42" i="4"/>
  <c r="AX42" i="4"/>
  <c r="AW42" i="4"/>
  <c r="AV42" i="4"/>
  <c r="BS41" i="4"/>
  <c r="BR41" i="4"/>
  <c r="BQ41" i="4"/>
  <c r="AZ41" i="4"/>
  <c r="AY41" i="4"/>
  <c r="AX41" i="4"/>
  <c r="AW41" i="4"/>
  <c r="AV41" i="4"/>
  <c r="BS40" i="4"/>
  <c r="BR40" i="4"/>
  <c r="BQ40" i="4"/>
  <c r="AZ40" i="4"/>
  <c r="AY40" i="4"/>
  <c r="AX40" i="4"/>
  <c r="AW40" i="4"/>
  <c r="AV40" i="4"/>
  <c r="BS39" i="4"/>
  <c r="BR39" i="4"/>
  <c r="BQ39" i="4"/>
  <c r="AZ39" i="4"/>
  <c r="AY39" i="4"/>
  <c r="AX39" i="4"/>
  <c r="AW39" i="4"/>
  <c r="AV39" i="4"/>
  <c r="BS36" i="4"/>
  <c r="BR36" i="4"/>
  <c r="BQ36" i="4"/>
  <c r="AZ36" i="4"/>
  <c r="AY36" i="4"/>
  <c r="AX36" i="4"/>
  <c r="AW36" i="4"/>
  <c r="AV36" i="4"/>
  <c r="BS35" i="4"/>
  <c r="BR35" i="4"/>
  <c r="BQ35" i="4"/>
  <c r="AZ35" i="4"/>
  <c r="AY35" i="4"/>
  <c r="AX35" i="4"/>
  <c r="AW35" i="4"/>
  <c r="AV35" i="4"/>
  <c r="BS32" i="4"/>
  <c r="BR32" i="4"/>
  <c r="BQ32" i="4"/>
  <c r="AZ32" i="4"/>
  <c r="AY32" i="4"/>
  <c r="AX32" i="4"/>
  <c r="AW32" i="4"/>
  <c r="AV32" i="4"/>
  <c r="BS31" i="4"/>
  <c r="AZ31" i="4"/>
  <c r="AY31" i="4"/>
  <c r="AX31" i="4"/>
  <c r="AW31" i="4"/>
  <c r="AV31" i="4"/>
  <c r="BS30" i="4"/>
  <c r="BR30" i="4"/>
  <c r="BQ30" i="4"/>
  <c r="AZ30" i="4"/>
  <c r="AY30" i="4"/>
  <c r="AX30" i="4"/>
  <c r="AW30" i="4"/>
  <c r="AV30" i="4"/>
  <c r="BS28" i="4"/>
  <c r="BR28" i="4"/>
  <c r="BQ28" i="4"/>
  <c r="AZ28" i="4"/>
  <c r="AY28" i="4"/>
  <c r="AX28" i="4"/>
  <c r="AW28" i="4"/>
  <c r="AV28" i="4"/>
  <c r="BR27" i="4"/>
  <c r="BQ27" i="4"/>
  <c r="AZ27" i="4"/>
  <c r="AY27" i="4"/>
  <c r="AX27" i="4"/>
  <c r="AW27" i="4"/>
  <c r="AV27" i="4"/>
  <c r="AZ26" i="4"/>
  <c r="AY26" i="4"/>
  <c r="AX26" i="4"/>
  <c r="AW26" i="4"/>
  <c r="AV26" i="4"/>
  <c r="BS25" i="4"/>
  <c r="BR25" i="4"/>
  <c r="BQ25" i="4"/>
  <c r="AZ25" i="4"/>
  <c r="AY25" i="4"/>
  <c r="AX25" i="4"/>
  <c r="AW25" i="4"/>
  <c r="AV25" i="4"/>
  <c r="BS20" i="4"/>
  <c r="BR20" i="4"/>
  <c r="BQ20" i="4"/>
  <c r="AZ20" i="4"/>
  <c r="AY20" i="4"/>
  <c r="AX20" i="4"/>
  <c r="AW20" i="4"/>
  <c r="AV20" i="4"/>
  <c r="BS18" i="4"/>
  <c r="BR18" i="4"/>
  <c r="BQ18" i="4"/>
  <c r="AZ18" i="4"/>
  <c r="AY18" i="4"/>
  <c r="AX18" i="4"/>
  <c r="AW18" i="4"/>
  <c r="AV18" i="4"/>
  <c r="BS12" i="4"/>
  <c r="BR12" i="4"/>
  <c r="AZ12" i="4"/>
  <c r="AY12" i="4"/>
  <c r="BS10" i="4"/>
  <c r="BR10" i="4"/>
  <c r="BR48" i="4" s="1"/>
  <c r="BQ10" i="4"/>
  <c r="BQ48" i="4" s="1"/>
  <c r="AZ10" i="4"/>
  <c r="AY10" i="4"/>
  <c r="AX10" i="4"/>
  <c r="AW10" i="4"/>
  <c r="AV10" i="4"/>
  <c r="BI10" i="4" s="1"/>
  <c r="AZ9" i="4"/>
  <c r="AY9" i="4"/>
  <c r="AX9" i="4"/>
  <c r="AW9" i="4"/>
  <c r="AV9" i="4"/>
  <c r="AZ6" i="4"/>
  <c r="AY6" i="4"/>
  <c r="AX6" i="4"/>
  <c r="AW6" i="4"/>
  <c r="AV6" i="4"/>
  <c r="BI6" i="4" s="1"/>
  <c r="BS5" i="4"/>
  <c r="BS48" i="4" s="1"/>
  <c r="AZ5" i="4"/>
  <c r="AZ48" i="4" s="1"/>
  <c r="AY5" i="4"/>
  <c r="AY48" i="4" s="1"/>
  <c r="AX5" i="4"/>
  <c r="AX48" i="4" s="1"/>
  <c r="AW5" i="4"/>
  <c r="AW48" i="4" s="1"/>
  <c r="AV5" i="4"/>
  <c r="BS53" i="3"/>
  <c r="AZ53" i="3"/>
  <c r="BS48" i="3"/>
  <c r="BR48" i="3"/>
  <c r="BQ48" i="3"/>
  <c r="AZ48" i="3"/>
  <c r="AY48" i="3"/>
  <c r="AX48" i="3"/>
  <c r="AW48" i="3"/>
  <c r="AV48" i="3"/>
  <c r="BS21" i="3"/>
  <c r="BR21" i="3"/>
  <c r="AZ21" i="3"/>
  <c r="BS19" i="3"/>
  <c r="BR19" i="3"/>
  <c r="BQ19" i="3"/>
  <c r="AZ19" i="3"/>
  <c r="AY19" i="3"/>
  <c r="AX19" i="3"/>
  <c r="AW19" i="3"/>
  <c r="AV19" i="3"/>
  <c r="AC19" i="3"/>
  <c r="AB19" i="3"/>
  <c r="AA19" i="3"/>
  <c r="Z19" i="3"/>
  <c r="Y19" i="3"/>
  <c r="AC56" i="3"/>
  <c r="Z56" i="3"/>
  <c r="Y56" i="3"/>
  <c r="AB56" i="3"/>
  <c r="AA56" i="3"/>
  <c r="BS7" i="3"/>
  <c r="BR7" i="3"/>
  <c r="BQ7" i="3"/>
  <c r="AZ7" i="3"/>
  <c r="AZ56" i="3" s="1"/>
  <c r="AY7" i="3"/>
  <c r="AY56" i="3" s="1"/>
  <c r="AX7" i="3"/>
  <c r="AX56" i="3" s="1"/>
  <c r="AW7" i="3"/>
  <c r="AW56" i="3" s="1"/>
  <c r="AV7" i="3"/>
  <c r="BS140" i="2"/>
  <c r="BR140" i="2"/>
  <c r="BQ140" i="2"/>
  <c r="BS137" i="2"/>
  <c r="BR137" i="2"/>
  <c r="BQ137" i="2"/>
  <c r="AZ137" i="2"/>
  <c r="AY137" i="2"/>
  <c r="AX137" i="2"/>
  <c r="AW137" i="2"/>
  <c r="BS136" i="2"/>
  <c r="BR136" i="2"/>
  <c r="BQ136" i="2"/>
  <c r="AZ136" i="2"/>
  <c r="AY136" i="2"/>
  <c r="AX136" i="2"/>
  <c r="AW136" i="2"/>
  <c r="AV136" i="2"/>
  <c r="BS135" i="2"/>
  <c r="BR135" i="2"/>
  <c r="BQ135" i="2"/>
  <c r="AZ135" i="2"/>
  <c r="AY135" i="2"/>
  <c r="AX135" i="2"/>
  <c r="AW135" i="2"/>
  <c r="AV135" i="2"/>
  <c r="BS134" i="2"/>
  <c r="BR134" i="2"/>
  <c r="BQ134" i="2"/>
  <c r="AZ134" i="2"/>
  <c r="AY134" i="2"/>
  <c r="AX134" i="2"/>
  <c r="AW134" i="2"/>
  <c r="AV134" i="2"/>
  <c r="BS132" i="2"/>
  <c r="BR132" i="2"/>
  <c r="BQ132" i="2"/>
  <c r="AZ132" i="2"/>
  <c r="AY132" i="2"/>
  <c r="AX132" i="2"/>
  <c r="AW132" i="2"/>
  <c r="AV132" i="2"/>
  <c r="BS131" i="2"/>
  <c r="BR131" i="2"/>
  <c r="BQ131" i="2"/>
  <c r="AZ131" i="2"/>
  <c r="AY131" i="2"/>
  <c r="AX131" i="2"/>
  <c r="AW131" i="2"/>
  <c r="AV131" i="2"/>
  <c r="BS130" i="2"/>
  <c r="BR130" i="2"/>
  <c r="BQ130" i="2"/>
  <c r="AZ130" i="2"/>
  <c r="AY130" i="2"/>
  <c r="AX130" i="2"/>
  <c r="AW130" i="2"/>
  <c r="AV130" i="2"/>
  <c r="BS119" i="2"/>
  <c r="BR119" i="2"/>
  <c r="BQ119" i="2"/>
  <c r="AZ119" i="2"/>
  <c r="AY119" i="2"/>
  <c r="AX119" i="2"/>
  <c r="AW119" i="2"/>
  <c r="AV119" i="2"/>
  <c r="BS117" i="2"/>
  <c r="BR117" i="2"/>
  <c r="BQ117" i="2"/>
  <c r="AZ117" i="2"/>
  <c r="AY117" i="2"/>
  <c r="AX117" i="2"/>
  <c r="AW117" i="2"/>
  <c r="AV117" i="2"/>
  <c r="BS116" i="2"/>
  <c r="BR116" i="2"/>
  <c r="BQ116" i="2"/>
  <c r="AZ116" i="2"/>
  <c r="AY116" i="2"/>
  <c r="AX116" i="2"/>
  <c r="AW116" i="2"/>
  <c r="AV116" i="2"/>
  <c r="BS115" i="2"/>
  <c r="BR115" i="2"/>
  <c r="BQ115" i="2"/>
  <c r="AZ115" i="2"/>
  <c r="AY115" i="2"/>
  <c r="AX115" i="2"/>
  <c r="AW115" i="2"/>
  <c r="AV115" i="2"/>
  <c r="BS114" i="2"/>
  <c r="BR114" i="2"/>
  <c r="BQ114" i="2"/>
  <c r="AZ114" i="2"/>
  <c r="AY114" i="2"/>
  <c r="AX114" i="2"/>
  <c r="AW114" i="2"/>
  <c r="AV114" i="2"/>
  <c r="BS113" i="2"/>
  <c r="BR113" i="2"/>
  <c r="BQ113" i="2"/>
  <c r="AZ113" i="2"/>
  <c r="AY113" i="2"/>
  <c r="AX113" i="2"/>
  <c r="AW113" i="2"/>
  <c r="AV113" i="2"/>
  <c r="BS112" i="2"/>
  <c r="BR112" i="2"/>
  <c r="BQ112" i="2"/>
  <c r="AZ112" i="2"/>
  <c r="AY112" i="2"/>
  <c r="AX112" i="2"/>
  <c r="AW112" i="2"/>
  <c r="AV112" i="2"/>
  <c r="AA112" i="2"/>
  <c r="AA142" i="2" s="1"/>
  <c r="BS111" i="2"/>
  <c r="BR111" i="2"/>
  <c r="BQ111" i="2"/>
  <c r="AZ111" i="2"/>
  <c r="AY111" i="2"/>
  <c r="AX111" i="2"/>
  <c r="AW111" i="2"/>
  <c r="AV111" i="2"/>
  <c r="AZ92" i="2"/>
  <c r="BS88" i="2"/>
  <c r="BR88" i="2"/>
  <c r="BQ88" i="2"/>
  <c r="AY88" i="2"/>
  <c r="BN88" i="2"/>
  <c r="AX88" i="2"/>
  <c r="AW88" i="2"/>
  <c r="AV88" i="2"/>
  <c r="BS64" i="2"/>
  <c r="BR64" i="2"/>
  <c r="BQ64" i="2"/>
  <c r="AZ64" i="2"/>
  <c r="BS61" i="2"/>
  <c r="BR61" i="2"/>
  <c r="BQ61" i="2"/>
  <c r="AZ61" i="2"/>
  <c r="AY61" i="2"/>
  <c r="AX61" i="2"/>
  <c r="AW61" i="2"/>
  <c r="AV61" i="2"/>
  <c r="BS47" i="2"/>
  <c r="BR47" i="2"/>
  <c r="BQ47" i="2"/>
  <c r="AZ47" i="2"/>
  <c r="AY47" i="2"/>
  <c r="AX47" i="2"/>
  <c r="BS44" i="2"/>
  <c r="BR44" i="2"/>
  <c r="BQ44" i="2"/>
  <c r="AZ44" i="2"/>
  <c r="AY44" i="2"/>
  <c r="AX44" i="2"/>
  <c r="AW44" i="2"/>
  <c r="AV44" i="2"/>
  <c r="Z44" i="2"/>
  <c r="Z142" i="2" s="1"/>
  <c r="Y44" i="2"/>
  <c r="Y142" i="2" s="1"/>
  <c r="BS20" i="2"/>
  <c r="BR20" i="2"/>
  <c r="BQ20" i="2"/>
  <c r="AZ20" i="2"/>
  <c r="AY20" i="2"/>
  <c r="AX20" i="2"/>
  <c r="AW20" i="2"/>
  <c r="AV20" i="2"/>
  <c r="BS15" i="2"/>
  <c r="BS142" i="2" s="1"/>
  <c r="BR15" i="2"/>
  <c r="BR142" i="2" s="1"/>
  <c r="BQ15" i="2"/>
  <c r="BQ142" i="2" s="1"/>
  <c r="AZ15" i="2"/>
  <c r="AY15" i="2"/>
  <c r="AX15" i="2"/>
  <c r="AW15" i="2"/>
  <c r="AV15" i="2"/>
  <c r="AZ142" i="2"/>
  <c r="AY142" i="2"/>
  <c r="AX142" i="2"/>
  <c r="AW142" i="2"/>
  <c r="BQ95" i="1"/>
  <c r="BP95" i="1"/>
  <c r="AX95" i="1"/>
  <c r="AX195" i="1"/>
  <c r="BM195" i="1" s="1"/>
  <c r="AX196" i="1"/>
  <c r="BQ196" i="1"/>
  <c r="BQ195" i="1"/>
  <c r="BO100" i="1"/>
  <c r="BP100" i="1"/>
  <c r="BQ100" i="1"/>
  <c r="BO111" i="1"/>
  <c r="BP111" i="1"/>
  <c r="BQ111" i="1"/>
  <c r="AX111" i="1"/>
  <c r="BQ110" i="1"/>
  <c r="BP110" i="1"/>
  <c r="BO110" i="1"/>
  <c r="AX110" i="1"/>
  <c r="BM110" i="1" s="1"/>
  <c r="AW110" i="1"/>
  <c r="BL110" i="1"/>
  <c r="AV110" i="1"/>
  <c r="AU110" i="1"/>
  <c r="BJ110" i="1"/>
  <c r="AT110" i="1"/>
  <c r="AX109" i="1"/>
  <c r="BM109" i="1" s="1"/>
  <c r="BO109" i="1"/>
  <c r="BP109" i="1"/>
  <c r="BQ109" i="1"/>
  <c r="BP96" i="1"/>
  <c r="BO96" i="1"/>
  <c r="AX96" i="1"/>
  <c r="AW96" i="1"/>
  <c r="BL96" i="1"/>
  <c r="AV96" i="1"/>
  <c r="AU96" i="1"/>
  <c r="BJ96" i="1"/>
  <c r="AT96" i="1"/>
  <c r="BG96" i="1" s="1"/>
  <c r="AT105" i="1"/>
  <c r="AU105" i="1"/>
  <c r="AV105" i="1"/>
  <c r="BJ105" i="1"/>
  <c r="AW105" i="1"/>
  <c r="AX105" i="1"/>
  <c r="BL105" i="1"/>
  <c r="BB105" i="1"/>
  <c r="BC105" i="1"/>
  <c r="BD105" i="1"/>
  <c r="BE105" i="1"/>
  <c r="BI105" i="1"/>
  <c r="BO105" i="1"/>
  <c r="BP105" i="1"/>
  <c r="BQ105" i="1"/>
  <c r="BO250" i="1"/>
  <c r="BP250" i="1"/>
  <c r="BQ250" i="1"/>
  <c r="BI250" i="1"/>
  <c r="BJ250" i="1"/>
  <c r="BK250" i="1"/>
  <c r="BL250" i="1"/>
  <c r="BB250" i="1"/>
  <c r="BC250" i="1"/>
  <c r="BD250" i="1"/>
  <c r="BE250" i="1"/>
  <c r="BQ36" i="1"/>
  <c r="BP36" i="1"/>
  <c r="BO36" i="1"/>
  <c r="AX36" i="1"/>
  <c r="AW36" i="1"/>
  <c r="AV36" i="1"/>
  <c r="AU36" i="1"/>
  <c r="AT36" i="1"/>
  <c r="BP148" i="1"/>
  <c r="BO148" i="1"/>
  <c r="AX148" i="1"/>
  <c r="AW148" i="1"/>
  <c r="AV148" i="1"/>
  <c r="AU148" i="1"/>
  <c r="AT148" i="1"/>
  <c r="BP62" i="1"/>
  <c r="BQ62" i="1"/>
  <c r="AW62" i="1"/>
  <c r="AX62" i="1"/>
  <c r="BO51" i="1"/>
  <c r="BP51" i="1"/>
  <c r="BQ51" i="1"/>
  <c r="BP50" i="1"/>
  <c r="BQ50" i="1"/>
  <c r="AT51" i="1"/>
  <c r="AU51" i="1"/>
  <c r="AV51" i="1"/>
  <c r="AW51" i="1"/>
  <c r="AX51" i="1"/>
  <c r="AT50" i="1"/>
  <c r="BG50" i="1" s="1"/>
  <c r="AU50" i="1"/>
  <c r="AV50" i="1"/>
  <c r="AW50" i="1"/>
  <c r="AX50" i="1"/>
  <c r="BO50" i="1"/>
  <c r="BP107" i="1"/>
  <c r="BQ107" i="1"/>
  <c r="AX107" i="1"/>
  <c r="BM107" i="1" s="1"/>
  <c r="AW107" i="1"/>
  <c r="AV107" i="1"/>
  <c r="AU107" i="1"/>
  <c r="AT107" i="1"/>
  <c r="BQ112" i="1"/>
  <c r="BI112" i="1"/>
  <c r="BB112" i="1"/>
  <c r="AX112" i="1"/>
  <c r="BM112" i="1" s="1"/>
  <c r="BE112" i="1"/>
  <c r="AW112" i="1"/>
  <c r="AV112" i="1"/>
  <c r="BJ112" i="1"/>
  <c r="BO133" i="1"/>
  <c r="BP133" i="1"/>
  <c r="BQ133" i="1"/>
  <c r="AT133" i="1"/>
  <c r="AU133" i="1"/>
  <c r="AV133" i="1"/>
  <c r="BJ133" i="1"/>
  <c r="AW133" i="1"/>
  <c r="AX133" i="1"/>
  <c r="BM133" i="1" s="1"/>
  <c r="AB47" i="1"/>
  <c r="AC47" i="1"/>
  <c r="AT188" i="1"/>
  <c r="AU188" i="1"/>
  <c r="AV188" i="1"/>
  <c r="AW188" i="1"/>
  <c r="AX188" i="1"/>
  <c r="BM188" i="1" s="1"/>
  <c r="BE188" i="1"/>
  <c r="BO188" i="1"/>
  <c r="BP188" i="1"/>
  <c r="BQ188" i="1"/>
  <c r="BP207" i="1"/>
  <c r="BO197" i="1"/>
  <c r="BP197" i="1"/>
  <c r="BQ197" i="1"/>
  <c r="BO199" i="1"/>
  <c r="BP199" i="1"/>
  <c r="BQ199" i="1"/>
  <c r="BO200" i="1"/>
  <c r="BP200" i="1"/>
  <c r="BQ200" i="1"/>
  <c r="BO201" i="1"/>
  <c r="BP201" i="1"/>
  <c r="BQ201" i="1"/>
  <c r="BO202" i="1"/>
  <c r="BP202" i="1"/>
  <c r="BQ202" i="1"/>
  <c r="BO203" i="1"/>
  <c r="BP203" i="1"/>
  <c r="BQ203" i="1"/>
  <c r="BO204" i="1"/>
  <c r="BP204" i="1"/>
  <c r="BQ204" i="1"/>
  <c r="BO207" i="1"/>
  <c r="BQ207" i="1"/>
  <c r="BO208" i="1"/>
  <c r="BP208" i="1"/>
  <c r="BQ208" i="1"/>
  <c r="BO209" i="1"/>
  <c r="BP209" i="1"/>
  <c r="BQ209" i="1"/>
  <c r="BO210" i="1"/>
  <c r="BP210" i="1"/>
  <c r="BQ210" i="1"/>
  <c r="BO211" i="1"/>
  <c r="BP211" i="1"/>
  <c r="BQ211" i="1"/>
  <c r="BO213" i="1"/>
  <c r="BP213" i="1"/>
  <c r="BQ213" i="1"/>
  <c r="AT199" i="1"/>
  <c r="AU199" i="1"/>
  <c r="AV199" i="1"/>
  <c r="BC199" i="1"/>
  <c r="AW199" i="1"/>
  <c r="AX199" i="1"/>
  <c r="AT200" i="1"/>
  <c r="AU200" i="1"/>
  <c r="AV200" i="1"/>
  <c r="AW200" i="1"/>
  <c r="AX200" i="1"/>
  <c r="AT201" i="1"/>
  <c r="AU201" i="1"/>
  <c r="AV201" i="1"/>
  <c r="BC201" i="1"/>
  <c r="AW201" i="1"/>
  <c r="AX201" i="1"/>
  <c r="AT202" i="1"/>
  <c r="AU202" i="1"/>
  <c r="AV202" i="1"/>
  <c r="AW202" i="1"/>
  <c r="AX202" i="1"/>
  <c r="AT203" i="1"/>
  <c r="AU203" i="1"/>
  <c r="AV203" i="1"/>
  <c r="BC203" i="1"/>
  <c r="AW203" i="1"/>
  <c r="AX203" i="1"/>
  <c r="AT204" i="1"/>
  <c r="AU204" i="1"/>
  <c r="AV204" i="1"/>
  <c r="AW204" i="1"/>
  <c r="AX204" i="1"/>
  <c r="AT207" i="1"/>
  <c r="AU207" i="1"/>
  <c r="AV207" i="1"/>
  <c r="AW207" i="1"/>
  <c r="AX207" i="1"/>
  <c r="BM207" i="1" s="1"/>
  <c r="AT208" i="1"/>
  <c r="AU208" i="1"/>
  <c r="AV208" i="1"/>
  <c r="BC208" i="1"/>
  <c r="AW208" i="1"/>
  <c r="AX208" i="1"/>
  <c r="BE208" i="1"/>
  <c r="AT209" i="1"/>
  <c r="AU209" i="1"/>
  <c r="AV209" i="1"/>
  <c r="AW209" i="1"/>
  <c r="AX209" i="1"/>
  <c r="AT210" i="1"/>
  <c r="AU210" i="1"/>
  <c r="AV210" i="1"/>
  <c r="BC210" i="1"/>
  <c r="AW210" i="1"/>
  <c r="AX210" i="1"/>
  <c r="BM210" i="1" s="1"/>
  <c r="AT211" i="1"/>
  <c r="AU211" i="1"/>
  <c r="AV211" i="1"/>
  <c r="AW211" i="1"/>
  <c r="AX211" i="1"/>
  <c r="AT213" i="1"/>
  <c r="AU213" i="1"/>
  <c r="AV213" i="1"/>
  <c r="BC213" i="1"/>
  <c r="AW213" i="1"/>
  <c r="AX213" i="1"/>
  <c r="BE213" i="1"/>
  <c r="AX197" i="1"/>
  <c r="AW197" i="1"/>
  <c r="AV197" i="1"/>
  <c r="AU197" i="1"/>
  <c r="AT197" i="1"/>
  <c r="BG197" i="1" s="1"/>
  <c r="AA201" i="1"/>
  <c r="BO226" i="1"/>
  <c r="BP226" i="1"/>
  <c r="BQ226" i="1"/>
  <c r="BO4" i="1"/>
  <c r="BP4" i="1"/>
  <c r="BQ4" i="1"/>
  <c r="BO5" i="1"/>
  <c r="BP5" i="1"/>
  <c r="BQ5" i="1"/>
  <c r="BO6" i="1"/>
  <c r="BP6" i="1"/>
  <c r="BQ6" i="1"/>
  <c r="BQ7" i="1"/>
  <c r="BO13" i="1"/>
  <c r="BP13" i="1"/>
  <c r="BQ13" i="1"/>
  <c r="BO15" i="1"/>
  <c r="BP15" i="1"/>
  <c r="BQ15" i="1"/>
  <c r="BO16" i="1"/>
  <c r="BP16" i="1"/>
  <c r="BQ16" i="1"/>
  <c r="BO21" i="1"/>
  <c r="BP21" i="1"/>
  <c r="BQ21" i="1"/>
  <c r="BO24" i="1"/>
  <c r="BP24" i="1"/>
  <c r="BQ24" i="1"/>
  <c r="BQ25" i="1"/>
  <c r="BO27" i="1"/>
  <c r="BP27" i="1"/>
  <c r="BO28" i="1"/>
  <c r="BP28" i="1"/>
  <c r="BQ28" i="1"/>
  <c r="BO29" i="1"/>
  <c r="BP29" i="1"/>
  <c r="BQ29" i="1"/>
  <c r="BP30" i="1"/>
  <c r="BQ30" i="1"/>
  <c r="BO31" i="1"/>
  <c r="BP31" i="1"/>
  <c r="BQ31" i="1"/>
  <c r="BO32" i="1"/>
  <c r="BP32" i="1"/>
  <c r="BQ32" i="1"/>
  <c r="BO34" i="1"/>
  <c r="BP34" i="1"/>
  <c r="BQ34" i="1"/>
  <c r="BO39" i="1"/>
  <c r="BP39" i="1"/>
  <c r="BQ39" i="1"/>
  <c r="BO40" i="1"/>
  <c r="BP40" i="1"/>
  <c r="BQ40" i="1"/>
  <c r="BO41" i="1"/>
  <c r="BP41" i="1"/>
  <c r="BQ41" i="1"/>
  <c r="BO43" i="1"/>
  <c r="BP43" i="1"/>
  <c r="BQ43" i="1"/>
  <c r="BO44" i="1"/>
  <c r="BP44" i="1"/>
  <c r="BQ44" i="1"/>
  <c r="BO45" i="1"/>
  <c r="BP45" i="1"/>
  <c r="BQ45" i="1"/>
  <c r="BO46" i="1"/>
  <c r="BP46" i="1"/>
  <c r="BQ46" i="1"/>
  <c r="BO47" i="1"/>
  <c r="BP47" i="1"/>
  <c r="BQ47" i="1"/>
  <c r="BO49" i="1"/>
  <c r="BP49" i="1"/>
  <c r="BQ49" i="1"/>
  <c r="BO65" i="1"/>
  <c r="BP65" i="1"/>
  <c r="BQ65" i="1"/>
  <c r="BO68" i="1"/>
  <c r="BP68" i="1"/>
  <c r="BQ68" i="1"/>
  <c r="BO69" i="1"/>
  <c r="BP69" i="1"/>
  <c r="BQ69" i="1"/>
  <c r="BO70" i="1"/>
  <c r="BP70" i="1"/>
  <c r="BQ70" i="1"/>
  <c r="BP71" i="1"/>
  <c r="BQ71" i="1"/>
  <c r="BO72" i="1"/>
  <c r="BP72" i="1"/>
  <c r="BQ72" i="1"/>
  <c r="BO73" i="1"/>
  <c r="BP73" i="1"/>
  <c r="BQ73" i="1"/>
  <c r="BO74" i="1"/>
  <c r="BP74" i="1"/>
  <c r="BQ74" i="1"/>
  <c r="BO75" i="1"/>
  <c r="BP75" i="1"/>
  <c r="BQ75" i="1"/>
  <c r="BO76" i="1"/>
  <c r="BP76" i="1"/>
  <c r="BQ76" i="1"/>
  <c r="BO77" i="1"/>
  <c r="BP77" i="1"/>
  <c r="BQ77" i="1"/>
  <c r="BO78" i="1"/>
  <c r="BP78" i="1"/>
  <c r="BQ78" i="1"/>
  <c r="BO81" i="1"/>
  <c r="BP81" i="1"/>
  <c r="BQ81" i="1"/>
  <c r="BO82" i="1"/>
  <c r="BP82" i="1"/>
  <c r="BQ82" i="1"/>
  <c r="BO83" i="1"/>
  <c r="BP83" i="1"/>
  <c r="BQ83" i="1"/>
  <c r="BO84" i="1"/>
  <c r="BP84" i="1"/>
  <c r="BQ84" i="1"/>
  <c r="BO91" i="1"/>
  <c r="BP91" i="1"/>
  <c r="BO101" i="1"/>
  <c r="BP101" i="1"/>
  <c r="BQ101" i="1"/>
  <c r="BO102" i="1"/>
  <c r="BP102" i="1"/>
  <c r="BQ102" i="1"/>
  <c r="BO103" i="1"/>
  <c r="BP103" i="1"/>
  <c r="BQ103" i="1"/>
  <c r="BO108" i="1"/>
  <c r="BP108" i="1"/>
  <c r="BQ108" i="1"/>
  <c r="BO112" i="1"/>
  <c r="BP112" i="1"/>
  <c r="BO113" i="1"/>
  <c r="BP113" i="1"/>
  <c r="BQ113" i="1"/>
  <c r="BO114" i="1"/>
  <c r="BP114" i="1"/>
  <c r="BQ114" i="1"/>
  <c r="BO116" i="1"/>
  <c r="BP116" i="1"/>
  <c r="BQ116" i="1"/>
  <c r="BP117" i="1"/>
  <c r="BQ117" i="1"/>
  <c r="BP118" i="1"/>
  <c r="BQ118" i="1"/>
  <c r="BO119" i="1"/>
  <c r="BP119" i="1"/>
  <c r="BQ119" i="1"/>
  <c r="BO123" i="1"/>
  <c r="BP123" i="1"/>
  <c r="BQ123" i="1"/>
  <c r="BO124" i="1"/>
  <c r="BP124" i="1"/>
  <c r="BQ124" i="1"/>
  <c r="BO125" i="1"/>
  <c r="BP125" i="1"/>
  <c r="BQ125" i="1"/>
  <c r="BO126" i="1"/>
  <c r="BP126" i="1"/>
  <c r="BQ126" i="1"/>
  <c r="BO127" i="1"/>
  <c r="BP127" i="1"/>
  <c r="BQ127" i="1"/>
  <c r="BO128" i="1"/>
  <c r="BP128" i="1"/>
  <c r="BQ128" i="1"/>
  <c r="BO134" i="1"/>
  <c r="BP134" i="1"/>
  <c r="BQ134" i="1"/>
  <c r="BO135" i="1"/>
  <c r="BP135" i="1"/>
  <c r="BQ135" i="1"/>
  <c r="BO136" i="1"/>
  <c r="BP136" i="1"/>
  <c r="BQ136" i="1"/>
  <c r="BO137" i="1"/>
  <c r="BP137" i="1"/>
  <c r="BQ137" i="1"/>
  <c r="BO138" i="1"/>
  <c r="BP138" i="1"/>
  <c r="BQ138" i="1"/>
  <c r="BO139" i="1"/>
  <c r="BP139" i="1"/>
  <c r="BQ139" i="1"/>
  <c r="BO141" i="1"/>
  <c r="BP141" i="1"/>
  <c r="BQ141" i="1"/>
  <c r="BO143" i="1"/>
  <c r="BP143" i="1"/>
  <c r="BQ143" i="1"/>
  <c r="BO144" i="1"/>
  <c r="BP144" i="1"/>
  <c r="BQ144" i="1"/>
  <c r="BO145" i="1"/>
  <c r="BP145" i="1"/>
  <c r="BQ145" i="1"/>
  <c r="BO146" i="1"/>
  <c r="BP146" i="1"/>
  <c r="BQ146" i="1"/>
  <c r="BO149" i="1"/>
  <c r="BP149" i="1"/>
  <c r="BQ149" i="1"/>
  <c r="BO150" i="1"/>
  <c r="BP150" i="1"/>
  <c r="BQ150" i="1"/>
  <c r="BO152" i="1"/>
  <c r="BP152" i="1"/>
  <c r="BQ152" i="1"/>
  <c r="BO154" i="1"/>
  <c r="BP154" i="1"/>
  <c r="BQ154" i="1"/>
  <c r="BO159" i="1"/>
  <c r="BP159" i="1"/>
  <c r="BQ159" i="1"/>
  <c r="BO160" i="1"/>
  <c r="BP160" i="1"/>
  <c r="BQ160" i="1"/>
  <c r="BO161" i="1"/>
  <c r="BP161" i="1"/>
  <c r="BQ161" i="1"/>
  <c r="BO162" i="1"/>
  <c r="BP162" i="1"/>
  <c r="BQ162" i="1"/>
  <c r="BO163" i="1"/>
  <c r="BP163" i="1"/>
  <c r="BQ163" i="1"/>
  <c r="BQ164" i="1"/>
  <c r="BO165" i="1"/>
  <c r="BP165" i="1"/>
  <c r="BQ165" i="1"/>
  <c r="BO166" i="1"/>
  <c r="BP166" i="1"/>
  <c r="BQ166" i="1"/>
  <c r="BP170" i="1"/>
  <c r="BQ170" i="1"/>
  <c r="BO171" i="1"/>
  <c r="BP171" i="1"/>
  <c r="BQ171" i="1"/>
  <c r="BO175" i="1"/>
  <c r="BP175" i="1"/>
  <c r="BQ175" i="1"/>
  <c r="BO176" i="1"/>
  <c r="BP176" i="1"/>
  <c r="BQ176" i="1"/>
  <c r="BQ177" i="1"/>
  <c r="BO178" i="1"/>
  <c r="BP178" i="1"/>
  <c r="BQ178" i="1"/>
  <c r="BO180" i="1"/>
  <c r="BP180" i="1"/>
  <c r="BQ180" i="1"/>
  <c r="BO181" i="1"/>
  <c r="BP181" i="1"/>
  <c r="BQ181" i="1"/>
  <c r="BO182" i="1"/>
  <c r="BP182" i="1"/>
  <c r="BQ182" i="1"/>
  <c r="BO183" i="1"/>
  <c r="BP183" i="1"/>
  <c r="BQ183" i="1"/>
  <c r="BO185" i="1"/>
  <c r="BP185" i="1"/>
  <c r="BQ185" i="1"/>
  <c r="BO189" i="1"/>
  <c r="BP189" i="1"/>
  <c r="BQ189" i="1"/>
  <c r="BO191" i="1"/>
  <c r="BP191" i="1"/>
  <c r="BQ191" i="1"/>
  <c r="BO214" i="1"/>
  <c r="BP214" i="1"/>
  <c r="BQ214" i="1"/>
  <c r="BO215" i="1"/>
  <c r="BP215" i="1"/>
  <c r="BQ215" i="1"/>
  <c r="BO217" i="1"/>
  <c r="BP217" i="1"/>
  <c r="BQ217" i="1"/>
  <c r="BO218" i="1"/>
  <c r="BP218" i="1"/>
  <c r="BQ218" i="1"/>
  <c r="BO219" i="1"/>
  <c r="BP219" i="1"/>
  <c r="BQ219" i="1"/>
  <c r="BO220" i="1"/>
  <c r="BP220" i="1"/>
  <c r="BQ220" i="1"/>
  <c r="BO221" i="1"/>
  <c r="BP221" i="1"/>
  <c r="BQ221" i="1"/>
  <c r="BO222" i="1"/>
  <c r="BP222" i="1"/>
  <c r="BQ222" i="1"/>
  <c r="BO223" i="1"/>
  <c r="BP223" i="1"/>
  <c r="BQ223" i="1"/>
  <c r="BO229" i="1"/>
  <c r="BP229" i="1"/>
  <c r="BQ229" i="1"/>
  <c r="BO230" i="1"/>
  <c r="BP230" i="1"/>
  <c r="BQ230" i="1"/>
  <c r="BO232" i="1"/>
  <c r="BP232" i="1"/>
  <c r="BQ232" i="1"/>
  <c r="BO233" i="1"/>
  <c r="BP233" i="1"/>
  <c r="BQ233" i="1"/>
  <c r="BO235" i="1"/>
  <c r="BP235" i="1"/>
  <c r="BQ235" i="1"/>
  <c r="BO236" i="1"/>
  <c r="BP236" i="1"/>
  <c r="BQ236" i="1"/>
  <c r="BO237" i="1"/>
  <c r="BP237" i="1"/>
  <c r="BQ237" i="1"/>
  <c r="BO238" i="1"/>
  <c r="BP238" i="1"/>
  <c r="BQ238" i="1"/>
  <c r="BO239" i="1"/>
  <c r="BP239" i="1"/>
  <c r="BQ239" i="1"/>
  <c r="BO240" i="1"/>
  <c r="BP240" i="1"/>
  <c r="BQ240" i="1"/>
  <c r="BO241" i="1"/>
  <c r="BP241" i="1"/>
  <c r="BQ241" i="1"/>
  <c r="BO242" i="1"/>
  <c r="BP242" i="1"/>
  <c r="BQ242" i="1"/>
  <c r="BO243" i="1"/>
  <c r="BP243" i="1"/>
  <c r="BQ243" i="1"/>
  <c r="BO244" i="1"/>
  <c r="BP244" i="1"/>
  <c r="BQ244" i="1"/>
  <c r="BO245" i="1"/>
  <c r="BP245" i="1"/>
  <c r="BQ245" i="1"/>
  <c r="BO246" i="1"/>
  <c r="BP246" i="1"/>
  <c r="BQ246" i="1"/>
  <c r="BO247" i="1"/>
  <c r="BP247" i="1"/>
  <c r="BQ247" i="1"/>
  <c r="BQ248" i="1"/>
  <c r="BO249" i="1"/>
  <c r="BP249" i="1"/>
  <c r="BQ249" i="1"/>
  <c r="BP3" i="1"/>
  <c r="BP252" i="1" s="1"/>
  <c r="BQ3" i="1"/>
  <c r="BQ252" i="1" s="1"/>
  <c r="BO3" i="1"/>
  <c r="BO252" i="1" s="1"/>
  <c r="AX222" i="1"/>
  <c r="AT174" i="1"/>
  <c r="AU174" i="1"/>
  <c r="AV174" i="1"/>
  <c r="BC174" i="1"/>
  <c r="AW174" i="1"/>
  <c r="AX174" i="1"/>
  <c r="BM174" i="1" s="1"/>
  <c r="AX52" i="1"/>
  <c r="BM52" i="1" s="1"/>
  <c r="AW52" i="1"/>
  <c r="AU52" i="1"/>
  <c r="AT52" i="1"/>
  <c r="AV52" i="1"/>
  <c r="AT24" i="1"/>
  <c r="AU24" i="1"/>
  <c r="AV24" i="1"/>
  <c r="BC24" i="1"/>
  <c r="AW24" i="1"/>
  <c r="AX24" i="1"/>
  <c r="BM24" i="1" s="1"/>
  <c r="AT25" i="1"/>
  <c r="AU25" i="1"/>
  <c r="AV25" i="1"/>
  <c r="BC25" i="1"/>
  <c r="AW25" i="1"/>
  <c r="AX25" i="1"/>
  <c r="AT26" i="1"/>
  <c r="AU26" i="1"/>
  <c r="AV26" i="1"/>
  <c r="BC26" i="1"/>
  <c r="AW26" i="1"/>
  <c r="AX26" i="1"/>
  <c r="AT27" i="1"/>
  <c r="BG27" i="1" s="1"/>
  <c r="AU27" i="1"/>
  <c r="AV27" i="1"/>
  <c r="BC27" i="1"/>
  <c r="AW27" i="1"/>
  <c r="AX27" i="1"/>
  <c r="AT28" i="1"/>
  <c r="BG28" i="1" s="1"/>
  <c r="AU28" i="1"/>
  <c r="AV28" i="1"/>
  <c r="BC28" i="1"/>
  <c r="AW28" i="1"/>
  <c r="AX28" i="1"/>
  <c r="AT29" i="1"/>
  <c r="AU29" i="1"/>
  <c r="AV29" i="1"/>
  <c r="BC29" i="1"/>
  <c r="AW29" i="1"/>
  <c r="AX29" i="1"/>
  <c r="AV30" i="1"/>
  <c r="AW30" i="1"/>
  <c r="AX30" i="1"/>
  <c r="BM30" i="1" s="1"/>
  <c r="AT31" i="1"/>
  <c r="BG31" i="1" s="1"/>
  <c r="AU31" i="1"/>
  <c r="AV31" i="1"/>
  <c r="BC31" i="1"/>
  <c r="AW31" i="1"/>
  <c r="AX31" i="1"/>
  <c r="AT32" i="1"/>
  <c r="AU32" i="1"/>
  <c r="AV32" i="1"/>
  <c r="AW32" i="1"/>
  <c r="AX32" i="1"/>
  <c r="BM32" i="1" s="1"/>
  <c r="AT34" i="1"/>
  <c r="BG34" i="1" s="1"/>
  <c r="AU34" i="1"/>
  <c r="AV34" i="1"/>
  <c r="BC34" i="1"/>
  <c r="AW34" i="1"/>
  <c r="AX34" i="1"/>
  <c r="AT39" i="1"/>
  <c r="AU39" i="1"/>
  <c r="AV39" i="1"/>
  <c r="AW39" i="1"/>
  <c r="AX39" i="1"/>
  <c r="BM39" i="1" s="1"/>
  <c r="AT40" i="1"/>
  <c r="AU40" i="1"/>
  <c r="AV40" i="1"/>
  <c r="BC40" i="1"/>
  <c r="AW40" i="1"/>
  <c r="AX40" i="1"/>
  <c r="BM40" i="1" s="1"/>
  <c r="AT41" i="1"/>
  <c r="AU41" i="1"/>
  <c r="AV41" i="1"/>
  <c r="AW41" i="1"/>
  <c r="AX41" i="1"/>
  <c r="BM41" i="1" s="1"/>
  <c r="AT43" i="1"/>
  <c r="BG43" i="1" s="1"/>
  <c r="AU43" i="1"/>
  <c r="AV43" i="1"/>
  <c r="BC43" i="1"/>
  <c r="AW43" i="1"/>
  <c r="AX43" i="1"/>
  <c r="AT44" i="1"/>
  <c r="BG44" i="1" s="1"/>
  <c r="AU44" i="1"/>
  <c r="AV44" i="1"/>
  <c r="AW44" i="1"/>
  <c r="AX44" i="1"/>
  <c r="AT45" i="1"/>
  <c r="AU45" i="1"/>
  <c r="AV45" i="1"/>
  <c r="AW45" i="1"/>
  <c r="AX45" i="1"/>
  <c r="AT46" i="1"/>
  <c r="BG46" i="1" s="1"/>
  <c r="AU46" i="1"/>
  <c r="AV46" i="1"/>
  <c r="AW46" i="1"/>
  <c r="AX46" i="1"/>
  <c r="BE46" i="1"/>
  <c r="AT47" i="1"/>
  <c r="AU47" i="1"/>
  <c r="AV47" i="1"/>
  <c r="AW47" i="1"/>
  <c r="AX47" i="1"/>
  <c r="AT48" i="1"/>
  <c r="AU48" i="1"/>
  <c r="AV48" i="1"/>
  <c r="AW48" i="1"/>
  <c r="AX48" i="1"/>
  <c r="AT49" i="1"/>
  <c r="AU49" i="1"/>
  <c r="AV49" i="1"/>
  <c r="AW49" i="1"/>
  <c r="AX49" i="1"/>
  <c r="AT65" i="1"/>
  <c r="AU65" i="1"/>
  <c r="AV65" i="1"/>
  <c r="AW65" i="1"/>
  <c r="AX65" i="1"/>
  <c r="BM65" i="1" s="1"/>
  <c r="AT68" i="1"/>
  <c r="AU68" i="1"/>
  <c r="AV68" i="1"/>
  <c r="AW68" i="1"/>
  <c r="AX68" i="1"/>
  <c r="BM68" i="1" s="1"/>
  <c r="BE68" i="1"/>
  <c r="AT69" i="1"/>
  <c r="AU69" i="1"/>
  <c r="AV69" i="1"/>
  <c r="AW69" i="1"/>
  <c r="AX69" i="1"/>
  <c r="BM69" i="1" s="1"/>
  <c r="AT70" i="1"/>
  <c r="AU70" i="1"/>
  <c r="AV70" i="1"/>
  <c r="AW70" i="1"/>
  <c r="AX70" i="1"/>
  <c r="BM70" i="1" s="1"/>
  <c r="BE70" i="1"/>
  <c r="AT71" i="1"/>
  <c r="AU71" i="1"/>
  <c r="AV71" i="1"/>
  <c r="AW71" i="1"/>
  <c r="AX71" i="1"/>
  <c r="BM71" i="1" s="1"/>
  <c r="AT72" i="1"/>
  <c r="BG72" i="1" s="1"/>
  <c r="AU72" i="1"/>
  <c r="AV72" i="1"/>
  <c r="AW72" i="1"/>
  <c r="AX72" i="1"/>
  <c r="BE72" i="1"/>
  <c r="AT73" i="1"/>
  <c r="AU73" i="1"/>
  <c r="AV73" i="1"/>
  <c r="AW73" i="1"/>
  <c r="AX73" i="1"/>
  <c r="BM73" i="1" s="1"/>
  <c r="AT74" i="1"/>
  <c r="BG74" i="1" s="1"/>
  <c r="AU74" i="1"/>
  <c r="AV74" i="1"/>
  <c r="AW74" i="1"/>
  <c r="AX74" i="1"/>
  <c r="BE74" i="1"/>
  <c r="AT75" i="1"/>
  <c r="AU75" i="1"/>
  <c r="AV75" i="1"/>
  <c r="AW75" i="1"/>
  <c r="AX75" i="1"/>
  <c r="BM75" i="1" s="1"/>
  <c r="AT76" i="1"/>
  <c r="AU76" i="1"/>
  <c r="AV76" i="1"/>
  <c r="AW76" i="1"/>
  <c r="AX76" i="1"/>
  <c r="BM76" i="1" s="1"/>
  <c r="BE76" i="1"/>
  <c r="AT77" i="1"/>
  <c r="AU77" i="1"/>
  <c r="AV77" i="1"/>
  <c r="AW77" i="1"/>
  <c r="AX77" i="1"/>
  <c r="BM77" i="1" s="1"/>
  <c r="AT78" i="1"/>
  <c r="AU78" i="1"/>
  <c r="AV78" i="1"/>
  <c r="AW78" i="1"/>
  <c r="AX78" i="1"/>
  <c r="BE78" i="1"/>
  <c r="AV81" i="1"/>
  <c r="AW81" i="1"/>
  <c r="AX81" i="1"/>
  <c r="AT82" i="1"/>
  <c r="AU82" i="1"/>
  <c r="AV82" i="1"/>
  <c r="AW82" i="1"/>
  <c r="AX82" i="1"/>
  <c r="BE82" i="1"/>
  <c r="AT83" i="1"/>
  <c r="AU83" i="1"/>
  <c r="AV83" i="1"/>
  <c r="BC83" i="1"/>
  <c r="AW83" i="1"/>
  <c r="AX83" i="1"/>
  <c r="BM83" i="1" s="1"/>
  <c r="AT84" i="1"/>
  <c r="AU84" i="1"/>
  <c r="AV84" i="1"/>
  <c r="AW84" i="1"/>
  <c r="AX84" i="1"/>
  <c r="BM84" i="1" s="1"/>
  <c r="BE84" i="1"/>
  <c r="AT91" i="1"/>
  <c r="AU91" i="1"/>
  <c r="AV91" i="1"/>
  <c r="BC91" i="1"/>
  <c r="AW91" i="1"/>
  <c r="AX91" i="1"/>
  <c r="AT101" i="1"/>
  <c r="AU101" i="1"/>
  <c r="AV101" i="1"/>
  <c r="AW101" i="1"/>
  <c r="AX101" i="1"/>
  <c r="BM101" i="1" s="1"/>
  <c r="BE101" i="1"/>
  <c r="AV102" i="1"/>
  <c r="AW102" i="1"/>
  <c r="AX102" i="1"/>
  <c r="BM102" i="1" s="1"/>
  <c r="AT103" i="1"/>
  <c r="AU103" i="1"/>
  <c r="AV103" i="1"/>
  <c r="AW103" i="1"/>
  <c r="AX103" i="1"/>
  <c r="BM103" i="1" s="1"/>
  <c r="AT108" i="1"/>
  <c r="AU108" i="1"/>
  <c r="AV108" i="1"/>
  <c r="AW108" i="1"/>
  <c r="AX108" i="1"/>
  <c r="AT113" i="1"/>
  <c r="BG113" i="1" s="1"/>
  <c r="AU113" i="1"/>
  <c r="AV113" i="1"/>
  <c r="AW113" i="1"/>
  <c r="AX113" i="1"/>
  <c r="AT114" i="1"/>
  <c r="AU114" i="1"/>
  <c r="AV114" i="1"/>
  <c r="AW114" i="1"/>
  <c r="AX114" i="1"/>
  <c r="BM114" i="1" s="1"/>
  <c r="AT116" i="1"/>
  <c r="AU116" i="1"/>
  <c r="AV116" i="1"/>
  <c r="AW116" i="1"/>
  <c r="AX116" i="1"/>
  <c r="BM116" i="1" s="1"/>
  <c r="AX117" i="1"/>
  <c r="AX118" i="1"/>
  <c r="AT119" i="1"/>
  <c r="AU119" i="1"/>
  <c r="AV119" i="1"/>
  <c r="AW119" i="1"/>
  <c r="AX119" i="1"/>
  <c r="BM119" i="1" s="1"/>
  <c r="AT124" i="1"/>
  <c r="AU124" i="1"/>
  <c r="AV124" i="1"/>
  <c r="AW124" i="1"/>
  <c r="AX124" i="1"/>
  <c r="BM124" i="1" s="1"/>
  <c r="AT125" i="1"/>
  <c r="AU125" i="1"/>
  <c r="AV125" i="1"/>
  <c r="AW125" i="1"/>
  <c r="AX125" i="1"/>
  <c r="BM125" i="1" s="1"/>
  <c r="AT126" i="1"/>
  <c r="AU126" i="1"/>
  <c r="AV126" i="1"/>
  <c r="AW126" i="1"/>
  <c r="AX126" i="1"/>
  <c r="AT127" i="1"/>
  <c r="BG127" i="1" s="1"/>
  <c r="AU127" i="1"/>
  <c r="AV127" i="1"/>
  <c r="AW127" i="1"/>
  <c r="AX127" i="1"/>
  <c r="AU128" i="1"/>
  <c r="AV128" i="1"/>
  <c r="AW128" i="1"/>
  <c r="AX128" i="1"/>
  <c r="BM128" i="1" s="1"/>
  <c r="AT129" i="1"/>
  <c r="AU129" i="1"/>
  <c r="AV129" i="1"/>
  <c r="AW129" i="1"/>
  <c r="AX129" i="1"/>
  <c r="BM129" i="1" s="1"/>
  <c r="AT134" i="1"/>
  <c r="AU134" i="1"/>
  <c r="AV134" i="1"/>
  <c r="AW134" i="1"/>
  <c r="AX134" i="1"/>
  <c r="BM134" i="1" s="1"/>
  <c r="AT135" i="1"/>
  <c r="AU135" i="1"/>
  <c r="AV135" i="1"/>
  <c r="AW135" i="1"/>
  <c r="AX135" i="1"/>
  <c r="BM135" i="1" s="1"/>
  <c r="AT136" i="1"/>
  <c r="AU136" i="1"/>
  <c r="AV136" i="1"/>
  <c r="AW136" i="1"/>
  <c r="AX136" i="1"/>
  <c r="BM136" i="1" s="1"/>
  <c r="AU137" i="1"/>
  <c r="AV137" i="1"/>
  <c r="AW137" i="1"/>
  <c r="AX137" i="1"/>
  <c r="BM137" i="1" s="1"/>
  <c r="AT138" i="1"/>
  <c r="AU138" i="1"/>
  <c r="AV138" i="1"/>
  <c r="AW138" i="1"/>
  <c r="AX138" i="1"/>
  <c r="BM138" i="1" s="1"/>
  <c r="AU139" i="1"/>
  <c r="AV139" i="1"/>
  <c r="AW139" i="1"/>
  <c r="AX139" i="1"/>
  <c r="BM139" i="1" s="1"/>
  <c r="AT141" i="1"/>
  <c r="AU141" i="1"/>
  <c r="AV141" i="1"/>
  <c r="AW141" i="1"/>
  <c r="AX141" i="1"/>
  <c r="AT143" i="1"/>
  <c r="AU143" i="1"/>
  <c r="AV143" i="1"/>
  <c r="AW143" i="1"/>
  <c r="AX143" i="1"/>
  <c r="BM143" i="1" s="1"/>
  <c r="AT144" i="1"/>
  <c r="AU144" i="1"/>
  <c r="AV144" i="1"/>
  <c r="AW144" i="1"/>
  <c r="AX144" i="1"/>
  <c r="BM144" i="1" s="1"/>
  <c r="AT145" i="1"/>
  <c r="AU145" i="1"/>
  <c r="AV145" i="1"/>
  <c r="AW145" i="1"/>
  <c r="AX145" i="1"/>
  <c r="BM145" i="1" s="1"/>
  <c r="AT146" i="1"/>
  <c r="AU146" i="1"/>
  <c r="AV146" i="1"/>
  <c r="AW146" i="1"/>
  <c r="AX146" i="1"/>
  <c r="AT147" i="1"/>
  <c r="AU147" i="1"/>
  <c r="AV147" i="1"/>
  <c r="AW147" i="1"/>
  <c r="AX147" i="1"/>
  <c r="AW149" i="1"/>
  <c r="AX149" i="1"/>
  <c r="BM149" i="1" s="1"/>
  <c r="AT150" i="1"/>
  <c r="AU150" i="1"/>
  <c r="AV150" i="1"/>
  <c r="AW150" i="1"/>
  <c r="AX150" i="1"/>
  <c r="BM150" i="1" s="1"/>
  <c r="AT152" i="1"/>
  <c r="AU152" i="1"/>
  <c r="AV152" i="1"/>
  <c r="BC152" i="1"/>
  <c r="AW152" i="1"/>
  <c r="AX152" i="1"/>
  <c r="BM152" i="1" s="1"/>
  <c r="AV154" i="1"/>
  <c r="AW154" i="1"/>
  <c r="AX154" i="1"/>
  <c r="AT159" i="1"/>
  <c r="AU159" i="1"/>
  <c r="AV159" i="1"/>
  <c r="AW159" i="1"/>
  <c r="AX159" i="1"/>
  <c r="AT160" i="1"/>
  <c r="BG160" i="1" s="1"/>
  <c r="AU160" i="1"/>
  <c r="AV160" i="1"/>
  <c r="AW160" i="1"/>
  <c r="AX160" i="1"/>
  <c r="AT161" i="1"/>
  <c r="AU161" i="1"/>
  <c r="AV161" i="1"/>
  <c r="AW161" i="1"/>
  <c r="AX161" i="1"/>
  <c r="AT162" i="1"/>
  <c r="BG162" i="1" s="1"/>
  <c r="AU162" i="1"/>
  <c r="BB162" i="1"/>
  <c r="AV162" i="1"/>
  <c r="BC162" i="1"/>
  <c r="AW162" i="1"/>
  <c r="AX162" i="1"/>
  <c r="AT163" i="1"/>
  <c r="BG163" i="1" s="1"/>
  <c r="AU163" i="1"/>
  <c r="AV163" i="1"/>
  <c r="AW163" i="1"/>
  <c r="AT164" i="1"/>
  <c r="AU164" i="1"/>
  <c r="AV164" i="1"/>
  <c r="AW164" i="1"/>
  <c r="AX164" i="1"/>
  <c r="AT165" i="1"/>
  <c r="AU165" i="1"/>
  <c r="AV165" i="1"/>
  <c r="AW165" i="1"/>
  <c r="AX165" i="1"/>
  <c r="AT166" i="1"/>
  <c r="AU166" i="1"/>
  <c r="AV166" i="1"/>
  <c r="AW166" i="1"/>
  <c r="AX166" i="1"/>
  <c r="BM166" i="1" s="1"/>
  <c r="AT170" i="1"/>
  <c r="AU170" i="1"/>
  <c r="AV170" i="1"/>
  <c r="AW170" i="1"/>
  <c r="AX170" i="1"/>
  <c r="BM170" i="1" s="1"/>
  <c r="AT171" i="1"/>
  <c r="AU171" i="1"/>
  <c r="AV171" i="1"/>
  <c r="AW171" i="1"/>
  <c r="AX171" i="1"/>
  <c r="BM171" i="1" s="1"/>
  <c r="AT175" i="1"/>
  <c r="AU175" i="1"/>
  <c r="AV175" i="1"/>
  <c r="BC175" i="1"/>
  <c r="AW175" i="1"/>
  <c r="AX175" i="1"/>
  <c r="BM175" i="1" s="1"/>
  <c r="AT176" i="1"/>
  <c r="AU176" i="1"/>
  <c r="AV176" i="1"/>
  <c r="BC176" i="1"/>
  <c r="AW176" i="1"/>
  <c r="AX176" i="1"/>
  <c r="AX177" i="1"/>
  <c r="AT178" i="1"/>
  <c r="AU178" i="1"/>
  <c r="AV178" i="1"/>
  <c r="BC178" i="1"/>
  <c r="AW178" i="1"/>
  <c r="AX178" i="1"/>
  <c r="BM178" i="1" s="1"/>
  <c r="AT179" i="1"/>
  <c r="AU179" i="1"/>
  <c r="AV179" i="1"/>
  <c r="AW179" i="1"/>
  <c r="AX179" i="1"/>
  <c r="BM179" i="1" s="1"/>
  <c r="AT180" i="1"/>
  <c r="AU180" i="1"/>
  <c r="AV180" i="1"/>
  <c r="BC180" i="1"/>
  <c r="AW180" i="1"/>
  <c r="AX180" i="1"/>
  <c r="BM180" i="1" s="1"/>
  <c r="AT181" i="1"/>
  <c r="AU181" i="1"/>
  <c r="AV181" i="1"/>
  <c r="AW181" i="1"/>
  <c r="AX181" i="1"/>
  <c r="BM181" i="1" s="1"/>
  <c r="AT182" i="1"/>
  <c r="AU182" i="1"/>
  <c r="AV182" i="1"/>
  <c r="BC182" i="1"/>
  <c r="AW182" i="1"/>
  <c r="AX182" i="1"/>
  <c r="AT183" i="1"/>
  <c r="AU183" i="1"/>
  <c r="AV183" i="1"/>
  <c r="AW183" i="1"/>
  <c r="AX183" i="1"/>
  <c r="BM183" i="1" s="1"/>
  <c r="AT185" i="1"/>
  <c r="BG185" i="1" s="1"/>
  <c r="AU185" i="1"/>
  <c r="AV185" i="1"/>
  <c r="BC185" i="1"/>
  <c r="AW185" i="1"/>
  <c r="AX185" i="1"/>
  <c r="AT189" i="1"/>
  <c r="BM189" i="1"/>
  <c r="AT191" i="1"/>
  <c r="AU191" i="1"/>
  <c r="AV191" i="1"/>
  <c r="BC191" i="1"/>
  <c r="AW191" i="1"/>
  <c r="AX191" i="1"/>
  <c r="BM191" i="1" s="1"/>
  <c r="AT215" i="1"/>
  <c r="AU215" i="1"/>
  <c r="AV215" i="1"/>
  <c r="AW215" i="1"/>
  <c r="AX215" i="1"/>
  <c r="BM215" i="1" s="1"/>
  <c r="AT217" i="1"/>
  <c r="AU217" i="1"/>
  <c r="AV217" i="1"/>
  <c r="BC217" i="1"/>
  <c r="AW217" i="1"/>
  <c r="AX217" i="1"/>
  <c r="BM217" i="1" s="1"/>
  <c r="AT218" i="1"/>
  <c r="AU218" i="1"/>
  <c r="AV218" i="1"/>
  <c r="AW218" i="1"/>
  <c r="AX218" i="1"/>
  <c r="BM218" i="1" s="1"/>
  <c r="AT219" i="1"/>
  <c r="AU219" i="1"/>
  <c r="AV219" i="1"/>
  <c r="BC219" i="1"/>
  <c r="AW219" i="1"/>
  <c r="AX219" i="1"/>
  <c r="BM219" i="1" s="1"/>
  <c r="AT220" i="1"/>
  <c r="AU220" i="1"/>
  <c r="AV220" i="1"/>
  <c r="AW220" i="1"/>
  <c r="AX220" i="1"/>
  <c r="AT221" i="1"/>
  <c r="BG221" i="1" s="1"/>
  <c r="AU221" i="1"/>
  <c r="AV221" i="1"/>
  <c r="BC221" i="1"/>
  <c r="AW221" i="1"/>
  <c r="AX221" i="1"/>
  <c r="AT223" i="1"/>
  <c r="AU223" i="1"/>
  <c r="AV223" i="1"/>
  <c r="AW223" i="1"/>
  <c r="AX223" i="1"/>
  <c r="BM223" i="1" s="1"/>
  <c r="AV226" i="1"/>
  <c r="AW226" i="1"/>
  <c r="AX226" i="1"/>
  <c r="BM226" i="1" s="1"/>
  <c r="AT229" i="1"/>
  <c r="BG229" i="1" s="1"/>
  <c r="AU229" i="1"/>
  <c r="AV229" i="1"/>
  <c r="AW229" i="1"/>
  <c r="AX229" i="1"/>
  <c r="AT230" i="1"/>
  <c r="AU230" i="1"/>
  <c r="AV230" i="1"/>
  <c r="AW230" i="1"/>
  <c r="AX230" i="1"/>
  <c r="BE230" i="1"/>
  <c r="AT232" i="1"/>
  <c r="AU232" i="1"/>
  <c r="AV232" i="1"/>
  <c r="AW232" i="1"/>
  <c r="AX232" i="1"/>
  <c r="AT233" i="1"/>
  <c r="AU233" i="1"/>
  <c r="AV233" i="1"/>
  <c r="AW233" i="1"/>
  <c r="AX233" i="1"/>
  <c r="BE233" i="1"/>
  <c r="AT235" i="1"/>
  <c r="AU235" i="1"/>
  <c r="AV235" i="1"/>
  <c r="AW235" i="1"/>
  <c r="AX235" i="1"/>
  <c r="BE235" i="1"/>
  <c r="AT236" i="1"/>
  <c r="AU236" i="1"/>
  <c r="AV236" i="1"/>
  <c r="AW236" i="1"/>
  <c r="AX236" i="1"/>
  <c r="AT237" i="1"/>
  <c r="AU237" i="1"/>
  <c r="AV237" i="1"/>
  <c r="AW237" i="1"/>
  <c r="AX237" i="1"/>
  <c r="BE237" i="1"/>
  <c r="AU239" i="1"/>
  <c r="AV239" i="1"/>
  <c r="AW239" i="1"/>
  <c r="AX239" i="1"/>
  <c r="AT240" i="1"/>
  <c r="AU240" i="1"/>
  <c r="AV240" i="1"/>
  <c r="AW240" i="1"/>
  <c r="AX240" i="1"/>
  <c r="AT241" i="1"/>
  <c r="AU241" i="1"/>
  <c r="AV241" i="1"/>
  <c r="AW241" i="1"/>
  <c r="AX241" i="1"/>
  <c r="BE241" i="1"/>
  <c r="AT242" i="1"/>
  <c r="AU242" i="1"/>
  <c r="AV242" i="1"/>
  <c r="AW242" i="1"/>
  <c r="AX242" i="1"/>
  <c r="AT243" i="1"/>
  <c r="BG243" i="1" s="1"/>
  <c r="AU243" i="1"/>
  <c r="AV243" i="1"/>
  <c r="BC243" i="1"/>
  <c r="AW243" i="1"/>
  <c r="AX243" i="1"/>
  <c r="BE243" i="1"/>
  <c r="AT244" i="1"/>
  <c r="AU244" i="1"/>
  <c r="AV244" i="1"/>
  <c r="BC244" i="1"/>
  <c r="AW244" i="1"/>
  <c r="AX244" i="1"/>
  <c r="BM244" i="1" s="1"/>
  <c r="AT245" i="1"/>
  <c r="BG245" i="1" s="1"/>
  <c r="AU245" i="1"/>
  <c r="AV245" i="1"/>
  <c r="BC245" i="1"/>
  <c r="AW245" i="1"/>
  <c r="AX245" i="1"/>
  <c r="BE245" i="1"/>
  <c r="AT246" i="1"/>
  <c r="BG246" i="1" s="1"/>
  <c r="AU246" i="1"/>
  <c r="AV246" i="1"/>
  <c r="AW246" i="1"/>
  <c r="AX246" i="1"/>
  <c r="AT247" i="1"/>
  <c r="AU247" i="1"/>
  <c r="AV247" i="1"/>
  <c r="BC247" i="1"/>
  <c r="AW247" i="1"/>
  <c r="AX247" i="1"/>
  <c r="BM247" i="1" s="1"/>
  <c r="BE247" i="1"/>
  <c r="AX248" i="1"/>
  <c r="AT249" i="1"/>
  <c r="AU249" i="1"/>
  <c r="AV249" i="1"/>
  <c r="AW249" i="1"/>
  <c r="AX249" i="1"/>
  <c r="BM249" i="1" s="1"/>
  <c r="BE249" i="1"/>
  <c r="AT16" i="1"/>
  <c r="BG16" i="1" s="1"/>
  <c r="AU16" i="1"/>
  <c r="AV16" i="1"/>
  <c r="BC16" i="1"/>
  <c r="AW16" i="1"/>
  <c r="AX16" i="1"/>
  <c r="AT21" i="1"/>
  <c r="BG21" i="1" s="1"/>
  <c r="AU21" i="1"/>
  <c r="AV21" i="1"/>
  <c r="BC21" i="1"/>
  <c r="AW21" i="1"/>
  <c r="AX21" i="1"/>
  <c r="BM21" i="1" s="1"/>
  <c r="AT3" i="1"/>
  <c r="BG3" i="1" s="1"/>
  <c r="AU3" i="1"/>
  <c r="AV3" i="1"/>
  <c r="AW3" i="1"/>
  <c r="AX3" i="1"/>
  <c r="AV4" i="1"/>
  <c r="AW4" i="1"/>
  <c r="AX4" i="1"/>
  <c r="BM4" i="1" s="1"/>
  <c r="AX14" i="1"/>
  <c r="AW14" i="1"/>
  <c r="AV14" i="1"/>
  <c r="AU14" i="1"/>
  <c r="AT14" i="1"/>
  <c r="AX7" i="1"/>
  <c r="BM7" i="1" s="1"/>
  <c r="AQ238" i="1"/>
  <c r="AP238" i="1"/>
  <c r="AO238" i="1"/>
  <c r="AN238" i="1"/>
  <c r="AG238" i="1"/>
  <c r="AH238" i="1"/>
  <c r="AI238" i="1"/>
  <c r="AJ238" i="1"/>
  <c r="AB238" i="1"/>
  <c r="AC238" i="1"/>
  <c r="AA238" i="1"/>
  <c r="Z238" i="1"/>
  <c r="Y238" i="1"/>
  <c r="AA145" i="1"/>
  <c r="Y145" i="1"/>
  <c r="AC82" i="1"/>
  <c r="AB82" i="1"/>
  <c r="AA82" i="1"/>
  <c r="Z82" i="1"/>
  <c r="Y82" i="1"/>
  <c r="AA47" i="1"/>
  <c r="Z47" i="1"/>
  <c r="Y47" i="1"/>
  <c r="Y34" i="1"/>
  <c r="AB24" i="1"/>
  <c r="Z24" i="1"/>
  <c r="Y24" i="1"/>
  <c r="Z182" i="1"/>
  <c r="AB31" i="1"/>
  <c r="AA31" i="1"/>
  <c r="AC144" i="1"/>
  <c r="Z144" i="1"/>
  <c r="AA144" i="1"/>
  <c r="AB144" i="1"/>
  <c r="Z78" i="1"/>
  <c r="Y78" i="1"/>
  <c r="AC3" i="1"/>
  <c r="AB3" i="1"/>
  <c r="AB252" i="1" s="1"/>
  <c r="AA3" i="1"/>
  <c r="AA252" i="1" s="1"/>
  <c r="Z3" i="1"/>
  <c r="Y3" i="1"/>
  <c r="Z113" i="1"/>
  <c r="Y113" i="1"/>
  <c r="AT6" i="1"/>
  <c r="BG6" i="1" s="1"/>
  <c r="AU6" i="1"/>
  <c r="AV6" i="1"/>
  <c r="AW6" i="1"/>
  <c r="AX6" i="1"/>
  <c r="BM6" i="1" s="1"/>
  <c r="AT13" i="1"/>
  <c r="AU13" i="1"/>
  <c r="AV13" i="1"/>
  <c r="BC13" i="1"/>
  <c r="AW13" i="1"/>
  <c r="AX13" i="1"/>
  <c r="BM13" i="1" s="1"/>
  <c r="AT15" i="1"/>
  <c r="AU15" i="1"/>
  <c r="AV15" i="1"/>
  <c r="BC15" i="1"/>
  <c r="AW15" i="1"/>
  <c r="AX15" i="1"/>
  <c r="BM15" i="1" s="1"/>
  <c r="AT5" i="1"/>
  <c r="AU5" i="1"/>
  <c r="AV5" i="1"/>
  <c r="BC5" i="1"/>
  <c r="AW5" i="1"/>
  <c r="AX5" i="1"/>
  <c r="BM5" i="1" s="1"/>
  <c r="BL115" i="1"/>
  <c r="BL5" i="4"/>
  <c r="BN5" i="4"/>
  <c r="BL10" i="4"/>
  <c r="BN10" i="4"/>
  <c r="BL20" i="4"/>
  <c r="BN20" i="4"/>
  <c r="BK25" i="4"/>
  <c r="BM25" i="4"/>
  <c r="BK26" i="4"/>
  <c r="BM26" i="4"/>
  <c r="BK27" i="4"/>
  <c r="BM27" i="4"/>
  <c r="BL36" i="4"/>
  <c r="BN36" i="4"/>
  <c r="BL39" i="4"/>
  <c r="BN39" i="4"/>
  <c r="BL40" i="4"/>
  <c r="BN40" i="4"/>
  <c r="BK41" i="4"/>
  <c r="BM41" i="4"/>
  <c r="BL42" i="4"/>
  <c r="BN42" i="4"/>
  <c r="BL43" i="4"/>
  <c r="BN43" i="4"/>
  <c r="BL28" i="4"/>
  <c r="BN28" i="4"/>
  <c r="BK18" i="4"/>
  <c r="BM18" i="4"/>
  <c r="BN30" i="4"/>
  <c r="BN31" i="4"/>
  <c r="BL35" i="4"/>
  <c r="BN35" i="4"/>
  <c r="BK6" i="4"/>
  <c r="BM6" i="4"/>
  <c r="BK28" i="4"/>
  <c r="BM28" i="4"/>
  <c r="BM30" i="4"/>
  <c r="BG31" i="4"/>
  <c r="BL32" i="4"/>
  <c r="BN32" i="4"/>
  <c r="BK36" i="4"/>
  <c r="BM36" i="4"/>
  <c r="BK39" i="4"/>
  <c r="BM39" i="4"/>
  <c r="BK40" i="4"/>
  <c r="BM40" i="4"/>
  <c r="BL41" i="4"/>
  <c r="BN41" i="4"/>
  <c r="BK42" i="4"/>
  <c r="BM42" i="4"/>
  <c r="BK43" i="4"/>
  <c r="BM43" i="4"/>
  <c r="BK5" i="4"/>
  <c r="BM5" i="4"/>
  <c r="BL6" i="4"/>
  <c r="BN6" i="4"/>
  <c r="BK10" i="4"/>
  <c r="BM10" i="4"/>
  <c r="BN12" i="4"/>
  <c r="BK20" i="4"/>
  <c r="BM20" i="4"/>
  <c r="BL25" i="4"/>
  <c r="BN25" i="4"/>
  <c r="BL26" i="4"/>
  <c r="BN26" i="4"/>
  <c r="BL27" i="4"/>
  <c r="BN27" i="4"/>
  <c r="BK32" i="4"/>
  <c r="BM32" i="4"/>
  <c r="BK35" i="4"/>
  <c r="BM35" i="4"/>
  <c r="BK19" i="3"/>
  <c r="BM19" i="3"/>
  <c r="BL7" i="3"/>
  <c r="BN7" i="3"/>
  <c r="BG48" i="3"/>
  <c r="BK7" i="3"/>
  <c r="BM7" i="3"/>
  <c r="BE10" i="4"/>
  <c r="BG10" i="4"/>
  <c r="BL18" i="4"/>
  <c r="BN18" i="4"/>
  <c r="BF18" i="4"/>
  <c r="BE5" i="4"/>
  <c r="BG5" i="4"/>
  <c r="BD6" i="4"/>
  <c r="BF6" i="4"/>
  <c r="BD5" i="4"/>
  <c r="BF5" i="4"/>
  <c r="BE6" i="4"/>
  <c r="BG6" i="4"/>
  <c r="BD10" i="4"/>
  <c r="BF10" i="4"/>
  <c r="BD18" i="4"/>
  <c r="BE18" i="4"/>
  <c r="BG18" i="4"/>
  <c r="BD20" i="4"/>
  <c r="BF20" i="4"/>
  <c r="BD25" i="4"/>
  <c r="BF25" i="4"/>
  <c r="BD26" i="4"/>
  <c r="BF26" i="4"/>
  <c r="BD27" i="4"/>
  <c r="BF27" i="4"/>
  <c r="BD28" i="4"/>
  <c r="BF28" i="4"/>
  <c r="BF30" i="4"/>
  <c r="BD32" i="4"/>
  <c r="BF32" i="4"/>
  <c r="BE20" i="4"/>
  <c r="BG20" i="4"/>
  <c r="BE25" i="4"/>
  <c r="BG25" i="4"/>
  <c r="BE26" i="4"/>
  <c r="BG26" i="4"/>
  <c r="BE27" i="4"/>
  <c r="BG27" i="4"/>
  <c r="BE28" i="4"/>
  <c r="BG28" i="4"/>
  <c r="BG30" i="4"/>
  <c r="BE32" i="4"/>
  <c r="BG32" i="4"/>
  <c r="BD35" i="4"/>
  <c r="BF35" i="4"/>
  <c r="BD36" i="4"/>
  <c r="BF36" i="4"/>
  <c r="BD39" i="4"/>
  <c r="BF39" i="4"/>
  <c r="BD40" i="4"/>
  <c r="BF40" i="4"/>
  <c r="BE41" i="4"/>
  <c r="BG41" i="4"/>
  <c r="BD42" i="4"/>
  <c r="BF42" i="4"/>
  <c r="BD43" i="4"/>
  <c r="BF43" i="4"/>
  <c r="BE35" i="4"/>
  <c r="BG35" i="4"/>
  <c r="BE36" i="4"/>
  <c r="BG36" i="4"/>
  <c r="BE39" i="4"/>
  <c r="BG39" i="4"/>
  <c r="BE40" i="4"/>
  <c r="BG40" i="4"/>
  <c r="BD41" i="4"/>
  <c r="BF41" i="4"/>
  <c r="BE42" i="4"/>
  <c r="BG42" i="4"/>
  <c r="BE43" i="4"/>
  <c r="BG43" i="4"/>
  <c r="BK15" i="2"/>
  <c r="BM15" i="2"/>
  <c r="BL20" i="2"/>
  <c r="BN20" i="2"/>
  <c r="BK113" i="2"/>
  <c r="BM113" i="2"/>
  <c r="BL114" i="2"/>
  <c r="BN114" i="2"/>
  <c r="BM137" i="2"/>
  <c r="BL44" i="2"/>
  <c r="BN44" i="2"/>
  <c r="BM47" i="2"/>
  <c r="BL61" i="2"/>
  <c r="BN61" i="2"/>
  <c r="BK88" i="2"/>
  <c r="BM88" i="2"/>
  <c r="BL15" i="2"/>
  <c r="BN15" i="2"/>
  <c r="BK20" i="2"/>
  <c r="BM20" i="2"/>
  <c r="BF114" i="2"/>
  <c r="BM114" i="2"/>
  <c r="BK44" i="2"/>
  <c r="BM44" i="2"/>
  <c r="BN47" i="2"/>
  <c r="BK61" i="2"/>
  <c r="BM61" i="2"/>
  <c r="BK111" i="2"/>
  <c r="BM111" i="2"/>
  <c r="BL112" i="2"/>
  <c r="BN112" i="2"/>
  <c r="BL113" i="2"/>
  <c r="BN113" i="2"/>
  <c r="BK114" i="2"/>
  <c r="BL115" i="2"/>
  <c r="BN115" i="2"/>
  <c r="BL116" i="2"/>
  <c r="BN116" i="2"/>
  <c r="BL117" i="2"/>
  <c r="BN117" i="2"/>
  <c r="BK119" i="2"/>
  <c r="BM119" i="2"/>
  <c r="BL130" i="2"/>
  <c r="BN130" i="2"/>
  <c r="BL131" i="2"/>
  <c r="BN131" i="2"/>
  <c r="BL132" i="2"/>
  <c r="BN132" i="2"/>
  <c r="BL134" i="2"/>
  <c r="BN134" i="2"/>
  <c r="BK135" i="2"/>
  <c r="BM135" i="2"/>
  <c r="BK136" i="2"/>
  <c r="BM136" i="2"/>
  <c r="BL137" i="2"/>
  <c r="BN137" i="2"/>
  <c r="BL48" i="3"/>
  <c r="BE48" i="3"/>
  <c r="BE7" i="3"/>
  <c r="BG7" i="3"/>
  <c r="BD19" i="3"/>
  <c r="BN48" i="3"/>
  <c r="BD7" i="3"/>
  <c r="BF7" i="3"/>
  <c r="BL19" i="3"/>
  <c r="BN19" i="3"/>
  <c r="BF19" i="3"/>
  <c r="BE19" i="3"/>
  <c r="BG19" i="3"/>
  <c r="BK48" i="3"/>
  <c r="BM48" i="3"/>
  <c r="BD48" i="3"/>
  <c r="BF48" i="3"/>
  <c r="BE15" i="2"/>
  <c r="BG15" i="2"/>
  <c r="BE20" i="2"/>
  <c r="BG20" i="2"/>
  <c r="BE44" i="2"/>
  <c r="BG44" i="2"/>
  <c r="BD61" i="2"/>
  <c r="BF61" i="2"/>
  <c r="BD15" i="2"/>
  <c r="BF15" i="2"/>
  <c r="BD20" i="2"/>
  <c r="BF20" i="2"/>
  <c r="BD44" i="2"/>
  <c r="BF44" i="2"/>
  <c r="BE61" i="2"/>
  <c r="BG61" i="2"/>
  <c r="BE88" i="2"/>
  <c r="BG88" i="2"/>
  <c r="BL88" i="2"/>
  <c r="BL111" i="2"/>
  <c r="BN111" i="2"/>
  <c r="BF111" i="2"/>
  <c r="BK112" i="2"/>
  <c r="BM112" i="2"/>
  <c r="BE112" i="2"/>
  <c r="BE113" i="2"/>
  <c r="BG115" i="2"/>
  <c r="BG116" i="2"/>
  <c r="BG117" i="2"/>
  <c r="BD119" i="2"/>
  <c r="BK130" i="2"/>
  <c r="BM130" i="2"/>
  <c r="BE130" i="2"/>
  <c r="BK131" i="2"/>
  <c r="BM131" i="2"/>
  <c r="BE131" i="2"/>
  <c r="BK132" i="2"/>
  <c r="BM132" i="2"/>
  <c r="BE132" i="2"/>
  <c r="BK134" i="2"/>
  <c r="BM134" i="2"/>
  <c r="BE134" i="2"/>
  <c r="BL135" i="2"/>
  <c r="BN135" i="2"/>
  <c r="BF135" i="2"/>
  <c r="BL136" i="2"/>
  <c r="BN136" i="2"/>
  <c r="BF136" i="2"/>
  <c r="BD88" i="2"/>
  <c r="BF88" i="2"/>
  <c r="BD111" i="2"/>
  <c r="BG112" i="2"/>
  <c r="BG113" i="2"/>
  <c r="BD114" i="2"/>
  <c r="BK115" i="2"/>
  <c r="BM115" i="2"/>
  <c r="BE115" i="2"/>
  <c r="BK116" i="2"/>
  <c r="BM116" i="2"/>
  <c r="BE116" i="2"/>
  <c r="BK117" i="2"/>
  <c r="BM117" i="2"/>
  <c r="BE117" i="2"/>
  <c r="BL119" i="2"/>
  <c r="BN119" i="2"/>
  <c r="BF119" i="2"/>
  <c r="BG130" i="2"/>
  <c r="BG131" i="2"/>
  <c r="BG132" i="2"/>
  <c r="BG134" i="2"/>
  <c r="BD135" i="2"/>
  <c r="BD136" i="2"/>
  <c r="BE111" i="2"/>
  <c r="BG111" i="2"/>
  <c r="BD112" i="2"/>
  <c r="BF112" i="2"/>
  <c r="BD113" i="2"/>
  <c r="BF113" i="2"/>
  <c r="BE114" i="2"/>
  <c r="BG114" i="2"/>
  <c r="BD115" i="2"/>
  <c r="BF115" i="2"/>
  <c r="BD116" i="2"/>
  <c r="BF116" i="2"/>
  <c r="BD117" i="2"/>
  <c r="BF117" i="2"/>
  <c r="BE119" i="2"/>
  <c r="BG119" i="2"/>
  <c r="BD130" i="2"/>
  <c r="BF130" i="2"/>
  <c r="BD131" i="2"/>
  <c r="BF131" i="2"/>
  <c r="BD132" i="2"/>
  <c r="BF132" i="2"/>
  <c r="BD134" i="2"/>
  <c r="BF134" i="2"/>
  <c r="BE135" i="2"/>
  <c r="BG135" i="2"/>
  <c r="BE136" i="2"/>
  <c r="BG136" i="2"/>
  <c r="BD84" i="1"/>
  <c r="BL50" i="1"/>
  <c r="BJ50" i="1"/>
  <c r="BK51" i="1"/>
  <c r="BI51" i="1"/>
  <c r="BL62" i="1"/>
  <c r="BK105" i="1"/>
  <c r="BJ148" i="1"/>
  <c r="BL148" i="1"/>
  <c r="BJ36" i="1"/>
  <c r="BL36" i="1"/>
  <c r="BI96" i="1"/>
  <c r="BK96" i="1"/>
  <c r="BI110" i="1"/>
  <c r="BK110" i="1"/>
  <c r="BB110" i="1"/>
  <c r="BD110" i="1"/>
  <c r="BC110" i="1"/>
  <c r="BE110" i="1"/>
  <c r="BC96" i="1"/>
  <c r="BE96" i="1"/>
  <c r="BB96" i="1"/>
  <c r="BD96" i="1"/>
  <c r="BK50" i="1"/>
  <c r="BI50" i="1"/>
  <c r="BL51" i="1"/>
  <c r="BJ51" i="1"/>
  <c r="BI36" i="1"/>
  <c r="BK36" i="1"/>
  <c r="BJ107" i="1"/>
  <c r="BL107" i="1"/>
  <c r="BI148" i="1"/>
  <c r="BK148" i="1"/>
  <c r="BB36" i="1"/>
  <c r="BD36" i="1"/>
  <c r="BI107" i="1"/>
  <c r="BK107" i="1"/>
  <c r="BC36" i="1"/>
  <c r="BE36" i="1"/>
  <c r="BI71" i="1"/>
  <c r="BL188" i="1"/>
  <c r="BJ188" i="1"/>
  <c r="BD107" i="1"/>
  <c r="BB107" i="1"/>
  <c r="BE50" i="1"/>
  <c r="BC50" i="1"/>
  <c r="BB148" i="1"/>
  <c r="BD148" i="1"/>
  <c r="BE107" i="1"/>
  <c r="BC107" i="1"/>
  <c r="BD50" i="1"/>
  <c r="BB50" i="1"/>
  <c r="BC148" i="1"/>
  <c r="BE148" i="1"/>
  <c r="BJ197" i="1"/>
  <c r="BK213" i="1"/>
  <c r="BI213" i="1"/>
  <c r="BJ211" i="1"/>
  <c r="BK210" i="1"/>
  <c r="BI210" i="1"/>
  <c r="BJ209" i="1"/>
  <c r="BK208" i="1"/>
  <c r="BI208" i="1"/>
  <c r="BJ207" i="1"/>
  <c r="BJ204" i="1"/>
  <c r="BK203" i="1"/>
  <c r="BI203" i="1"/>
  <c r="BJ202" i="1"/>
  <c r="BK201" i="1"/>
  <c r="BK202" i="1"/>
  <c r="BI202" i="1"/>
  <c r="BK200" i="1"/>
  <c r="BI200" i="1"/>
  <c r="BK188" i="1"/>
  <c r="BB188" i="1"/>
  <c r="BI197" i="1"/>
  <c r="BK197" i="1"/>
  <c r="BK211" i="1"/>
  <c r="BI211" i="1"/>
  <c r="BK209" i="1"/>
  <c r="BI209" i="1"/>
  <c r="BK207" i="1"/>
  <c r="BI207" i="1"/>
  <c r="BK204" i="1"/>
  <c r="BI204" i="1"/>
  <c r="BE203" i="1"/>
  <c r="BE201" i="1"/>
  <c r="BE199" i="1"/>
  <c r="BI201" i="1"/>
  <c r="BJ200" i="1"/>
  <c r="BK199" i="1"/>
  <c r="BI199" i="1"/>
  <c r="BE210" i="1"/>
  <c r="BC188" i="1"/>
  <c r="BI133" i="1"/>
  <c r="BE211" i="1"/>
  <c r="BC211" i="1"/>
  <c r="BE209" i="1"/>
  <c r="BC209" i="1"/>
  <c r="BE207" i="1"/>
  <c r="BC207" i="1"/>
  <c r="BE204" i="1"/>
  <c r="BC204" i="1"/>
  <c r="BE202" i="1"/>
  <c r="BC202" i="1"/>
  <c r="BE200" i="1"/>
  <c r="BC200" i="1"/>
  <c r="BE197" i="1"/>
  <c r="BC197" i="1"/>
  <c r="BL213" i="1"/>
  <c r="BJ213" i="1"/>
  <c r="BL211" i="1"/>
  <c r="BL210" i="1"/>
  <c r="BJ210" i="1"/>
  <c r="BL209" i="1"/>
  <c r="BL208" i="1"/>
  <c r="BJ208" i="1"/>
  <c r="BL207" i="1"/>
  <c r="BL204" i="1"/>
  <c r="BL203" i="1"/>
  <c r="BJ203" i="1"/>
  <c r="BL202" i="1"/>
  <c r="BL201" i="1"/>
  <c r="BJ201" i="1"/>
  <c r="BL200" i="1"/>
  <c r="BL199" i="1"/>
  <c r="BJ199" i="1"/>
  <c r="BL197" i="1"/>
  <c r="BD133" i="1"/>
  <c r="BB133" i="1"/>
  <c r="BK133" i="1"/>
  <c r="BD213" i="1"/>
  <c r="BB213" i="1"/>
  <c r="BD211" i="1"/>
  <c r="BB211" i="1"/>
  <c r="BD210" i="1"/>
  <c r="BB210" i="1"/>
  <c r="BD209" i="1"/>
  <c r="BB209" i="1"/>
  <c r="BD208" i="1"/>
  <c r="BB208" i="1"/>
  <c r="BD207" i="1"/>
  <c r="BB207" i="1"/>
  <c r="BD204" i="1"/>
  <c r="BB204" i="1"/>
  <c r="BD203" i="1"/>
  <c r="BB203" i="1"/>
  <c r="BD202" i="1"/>
  <c r="BB202" i="1"/>
  <c r="BD201" i="1"/>
  <c r="BB201" i="1"/>
  <c r="BD200" i="1"/>
  <c r="BB200" i="1"/>
  <c r="BD199" i="1"/>
  <c r="BB199" i="1"/>
  <c r="BD197" i="1"/>
  <c r="BB197" i="1"/>
  <c r="BI188" i="1"/>
  <c r="BD188" i="1"/>
  <c r="BE133" i="1"/>
  <c r="BC133" i="1"/>
  <c r="BL133" i="1"/>
  <c r="BD5" i="1"/>
  <c r="BB15" i="1"/>
  <c r="BK13" i="1"/>
  <c r="BI13" i="1"/>
  <c r="BJ6" i="1"/>
  <c r="BB14" i="1"/>
  <c r="BK4" i="1"/>
  <c r="BJ3" i="1"/>
  <c r="BK21" i="1"/>
  <c r="BI21" i="1"/>
  <c r="BB16" i="1"/>
  <c r="BI249" i="1"/>
  <c r="BK247" i="1"/>
  <c r="BI247" i="1"/>
  <c r="BK245" i="1"/>
  <c r="BI245" i="1"/>
  <c r="BB244" i="1"/>
  <c r="BK243" i="1"/>
  <c r="BI243" i="1"/>
  <c r="BB242" i="1"/>
  <c r="BK241" i="1"/>
  <c r="BI241" i="1"/>
  <c r="BB240" i="1"/>
  <c r="BK239" i="1"/>
  <c r="BK237" i="1"/>
  <c r="BI237" i="1"/>
  <c r="BB236" i="1"/>
  <c r="BK235" i="1"/>
  <c r="BI235" i="1"/>
  <c r="BK233" i="1"/>
  <c r="BI233" i="1"/>
  <c r="BB232" i="1"/>
  <c r="BK230" i="1"/>
  <c r="BI230" i="1"/>
  <c r="BB229" i="1"/>
  <c r="BK226" i="1"/>
  <c r="BI226" i="1"/>
  <c r="BB221" i="1"/>
  <c r="BL220" i="1"/>
  <c r="BJ220" i="1"/>
  <c r="BI220" i="1"/>
  <c r="BB219" i="1"/>
  <c r="BL218" i="1"/>
  <c r="BJ218" i="1"/>
  <c r="BI218" i="1"/>
  <c r="BB217" i="1"/>
  <c r="BJ215" i="1"/>
  <c r="BB191" i="1"/>
  <c r="BJ189" i="1"/>
  <c r="BB185" i="1"/>
  <c r="BJ183" i="1"/>
  <c r="BB182" i="1"/>
  <c r="BJ181" i="1"/>
  <c r="BB180" i="1"/>
  <c r="BJ179" i="1"/>
  <c r="BB178" i="1"/>
  <c r="BK176" i="1"/>
  <c r="BI176" i="1"/>
  <c r="BD175" i="1"/>
  <c r="BJ171" i="1"/>
  <c r="BL166" i="1"/>
  <c r="BJ166" i="1"/>
  <c r="BK162" i="1"/>
  <c r="BI162" i="1"/>
  <c r="BD161" i="1"/>
  <c r="BK160" i="1"/>
  <c r="BI160" i="1"/>
  <c r="BB159" i="1"/>
  <c r="BK154" i="1"/>
  <c r="BK147" i="1"/>
  <c r="BB147" i="1"/>
  <c r="BD146" i="1"/>
  <c r="BK145" i="1"/>
  <c r="BB145" i="1"/>
  <c r="BD144" i="1"/>
  <c r="BK143" i="1"/>
  <c r="BB143" i="1"/>
  <c r="BD141" i="1"/>
  <c r="BK139" i="1"/>
  <c r="BK138" i="1"/>
  <c r="BI138" i="1"/>
  <c r="BD136" i="1"/>
  <c r="BK135" i="1"/>
  <c r="BB135" i="1"/>
  <c r="BD134" i="1"/>
  <c r="BK129" i="1"/>
  <c r="BB129" i="1"/>
  <c r="BI127" i="1"/>
  <c r="BK126" i="1"/>
  <c r="BI126" i="1"/>
  <c r="BI125" i="1"/>
  <c r="BK124" i="1"/>
  <c r="BI124" i="1"/>
  <c r="BK119" i="1"/>
  <c r="BI119" i="1"/>
  <c r="BB116" i="1"/>
  <c r="BK114" i="1"/>
  <c r="BI114" i="1"/>
  <c r="BB113" i="1"/>
  <c r="BB108" i="1"/>
  <c r="BK103" i="1"/>
  <c r="BI103" i="1"/>
  <c r="BK78" i="1"/>
  <c r="BI78" i="1"/>
  <c r="BD77" i="1"/>
  <c r="BK76" i="1"/>
  <c r="BI76" i="1"/>
  <c r="BD75" i="1"/>
  <c r="BK74" i="1"/>
  <c r="BI74" i="1"/>
  <c r="BD73" i="1"/>
  <c r="BK72" i="1"/>
  <c r="BI72" i="1"/>
  <c r="BD71" i="1"/>
  <c r="BK70" i="1"/>
  <c r="BI70" i="1"/>
  <c r="BD69" i="1"/>
  <c r="BK68" i="1"/>
  <c r="BI68" i="1"/>
  <c r="BD65" i="1"/>
  <c r="BK49" i="1"/>
  <c r="BI49" i="1"/>
  <c r="BK47" i="1"/>
  <c r="BI47" i="1"/>
  <c r="BD46" i="1"/>
  <c r="BK45" i="1"/>
  <c r="BL44" i="1"/>
  <c r="BJ44" i="1"/>
  <c r="BD43" i="1"/>
  <c r="BL41" i="1"/>
  <c r="BJ41" i="1"/>
  <c r="BD40" i="1"/>
  <c r="BL39" i="1"/>
  <c r="BJ39" i="1"/>
  <c r="BD34" i="1"/>
  <c r="BL32" i="1"/>
  <c r="BJ32" i="1"/>
  <c r="BD31" i="1"/>
  <c r="BL30" i="1"/>
  <c r="BK29" i="1"/>
  <c r="BI29" i="1"/>
  <c r="BB28" i="1"/>
  <c r="BK27" i="1"/>
  <c r="BI27" i="1"/>
  <c r="BB26" i="1"/>
  <c r="BK25" i="1"/>
  <c r="BI25" i="1"/>
  <c r="BB24" i="1"/>
  <c r="BK52" i="1"/>
  <c r="BD174" i="1"/>
  <c r="BE165" i="1"/>
  <c r="BC112" i="1"/>
  <c r="BI163" i="1"/>
  <c r="BD159" i="1"/>
  <c r="BI146" i="1"/>
  <c r="BI144" i="1"/>
  <c r="BI141" i="1"/>
  <c r="BI136" i="1"/>
  <c r="BI134" i="1"/>
  <c r="BB127" i="1"/>
  <c r="BB125" i="1"/>
  <c r="BD116" i="1"/>
  <c r="BD113" i="1"/>
  <c r="BD108" i="1"/>
  <c r="BJ101" i="1"/>
  <c r="BJ84" i="1"/>
  <c r="BJ82" i="1"/>
  <c r="BE170" i="1"/>
  <c r="BI5" i="1"/>
  <c r="BB5" i="1"/>
  <c r="BL15" i="1"/>
  <c r="BE15" i="1"/>
  <c r="BL6" i="1"/>
  <c r="BL14" i="1"/>
  <c r="BE14" i="1"/>
  <c r="BL3" i="1"/>
  <c r="BL16" i="1"/>
  <c r="BE16" i="1"/>
  <c r="BK249" i="1"/>
  <c r="BE246" i="1"/>
  <c r="BC246" i="1"/>
  <c r="BE244" i="1"/>
  <c r="BE242" i="1"/>
  <c r="BJ242" i="1"/>
  <c r="BC242" i="1"/>
  <c r="BE240" i="1"/>
  <c r="BJ240" i="1"/>
  <c r="BC240" i="1"/>
  <c r="BE236" i="1"/>
  <c r="BJ236" i="1"/>
  <c r="BC236" i="1"/>
  <c r="BE232" i="1"/>
  <c r="BJ232" i="1"/>
  <c r="BC232" i="1"/>
  <c r="BE229" i="1"/>
  <c r="BJ229" i="1"/>
  <c r="BC229" i="1"/>
  <c r="BJ223" i="1"/>
  <c r="BK221" i="1"/>
  <c r="BD221" i="1"/>
  <c r="BK219" i="1"/>
  <c r="BD219" i="1"/>
  <c r="BK217" i="1"/>
  <c r="BD217" i="1"/>
  <c r="BL215" i="1"/>
  <c r="BK191" i="1"/>
  <c r="BD191" i="1"/>
  <c r="BL189" i="1"/>
  <c r="BK185" i="1"/>
  <c r="BD185" i="1"/>
  <c r="BL183" i="1"/>
  <c r="BK182" i="1"/>
  <c r="BD182" i="1"/>
  <c r="BL181" i="1"/>
  <c r="BK180" i="1"/>
  <c r="BD180" i="1"/>
  <c r="BL179" i="1"/>
  <c r="BK178" i="1"/>
  <c r="BD178" i="1"/>
  <c r="BL175" i="1"/>
  <c r="BE175" i="1"/>
  <c r="BK170" i="1"/>
  <c r="BD170" i="1"/>
  <c r="BI170" i="1"/>
  <c r="BB170" i="1"/>
  <c r="BK165" i="1"/>
  <c r="BD165" i="1"/>
  <c r="BI165" i="1"/>
  <c r="BB165" i="1"/>
  <c r="BJ163" i="1"/>
  <c r="BC163" i="1"/>
  <c r="BE163" i="1"/>
  <c r="BL161" i="1"/>
  <c r="BE161" i="1"/>
  <c r="BL159" i="1"/>
  <c r="BE159" i="1"/>
  <c r="BJ159" i="1"/>
  <c r="BC159" i="1"/>
  <c r="BL152" i="1"/>
  <c r="BL150" i="1"/>
  <c r="BL146" i="1"/>
  <c r="BE146" i="1"/>
  <c r="BJ146" i="1"/>
  <c r="BC146" i="1"/>
  <c r="BL144" i="1"/>
  <c r="BE144" i="1"/>
  <c r="BJ144" i="1"/>
  <c r="BC144" i="1"/>
  <c r="BL141" i="1"/>
  <c r="BE141" i="1"/>
  <c r="BJ141" i="1"/>
  <c r="BC141" i="1"/>
  <c r="BL137" i="1"/>
  <c r="BJ137" i="1"/>
  <c r="BL136" i="1"/>
  <c r="BE136" i="1"/>
  <c r="BJ136" i="1"/>
  <c r="BC136" i="1"/>
  <c r="BL134" i="1"/>
  <c r="BE134" i="1"/>
  <c r="BJ134" i="1"/>
  <c r="BC134" i="1"/>
  <c r="BL128" i="1"/>
  <c r="BJ128" i="1"/>
  <c r="BL127" i="1"/>
  <c r="BE127" i="1"/>
  <c r="BJ127" i="1"/>
  <c r="BC127" i="1"/>
  <c r="BL125" i="1"/>
  <c r="BE125" i="1"/>
  <c r="BJ125" i="1"/>
  <c r="BC125" i="1"/>
  <c r="BL116" i="1"/>
  <c r="BE116" i="1"/>
  <c r="BJ116" i="1"/>
  <c r="BC116" i="1"/>
  <c r="BL113" i="1"/>
  <c r="BE113" i="1"/>
  <c r="BJ113" i="1"/>
  <c r="BC113" i="1"/>
  <c r="BK112" i="1"/>
  <c r="BD112" i="1"/>
  <c r="BL108" i="1"/>
  <c r="BE108" i="1"/>
  <c r="BJ108" i="1"/>
  <c r="BC108" i="1"/>
  <c r="BL102" i="1"/>
  <c r="BK101" i="1"/>
  <c r="BD101" i="1"/>
  <c r="BI101" i="1"/>
  <c r="BB101" i="1"/>
  <c r="BL91" i="1"/>
  <c r="BK84" i="1"/>
  <c r="BI84" i="1"/>
  <c r="BB84" i="1"/>
  <c r="BL83" i="1"/>
  <c r="BK82" i="1"/>
  <c r="BD82" i="1"/>
  <c r="BI82" i="1"/>
  <c r="BB82" i="1"/>
  <c r="BL81" i="1"/>
  <c r="BE77" i="1"/>
  <c r="BJ77" i="1"/>
  <c r="BC77" i="1"/>
  <c r="BE75" i="1"/>
  <c r="BJ75" i="1"/>
  <c r="BC75" i="1"/>
  <c r="BE73" i="1"/>
  <c r="BJ73" i="1"/>
  <c r="BC73" i="1"/>
  <c r="BE71" i="1"/>
  <c r="BJ71" i="1"/>
  <c r="BC71" i="1"/>
  <c r="BE69" i="1"/>
  <c r="BJ69" i="1"/>
  <c r="BC69" i="1"/>
  <c r="BE65" i="1"/>
  <c r="BJ65" i="1"/>
  <c r="BC65" i="1"/>
  <c r="BJ46" i="1"/>
  <c r="BC46" i="1"/>
  <c r="BI43" i="1"/>
  <c r="BB43" i="1"/>
  <c r="BI40" i="1"/>
  <c r="BB40" i="1"/>
  <c r="BI34" i="1"/>
  <c r="BB34" i="1"/>
  <c r="BI31" i="1"/>
  <c r="BB31" i="1"/>
  <c r="BL28" i="1"/>
  <c r="BE28" i="1"/>
  <c r="BL26" i="1"/>
  <c r="BE26" i="1"/>
  <c r="BL24" i="1"/>
  <c r="BE24" i="1"/>
  <c r="BL174" i="1"/>
  <c r="BE174" i="1"/>
  <c r="BL13" i="1"/>
  <c r="BE13" i="1"/>
  <c r="BI6" i="1"/>
  <c r="BB6" i="1"/>
  <c r="BL4" i="1"/>
  <c r="BL21" i="1"/>
  <c r="BE21" i="1"/>
  <c r="BC249" i="1"/>
  <c r="BJ241" i="1"/>
  <c r="BC241" i="1"/>
  <c r="BJ239" i="1"/>
  <c r="BJ237" i="1"/>
  <c r="BC237" i="1"/>
  <c r="BJ235" i="1"/>
  <c r="BC235" i="1"/>
  <c r="BJ233" i="1"/>
  <c r="BC233" i="1"/>
  <c r="BJ230" i="1"/>
  <c r="BC230" i="1"/>
  <c r="BJ226" i="1"/>
  <c r="BL221" i="1"/>
  <c r="BK220" i="1"/>
  <c r="BD220" i="1"/>
  <c r="BL219" i="1"/>
  <c r="BK218" i="1"/>
  <c r="BD218" i="1"/>
  <c r="BL217" i="1"/>
  <c r="BK215" i="1"/>
  <c r="BD215" i="1"/>
  <c r="BK189" i="1"/>
  <c r="BD189" i="1"/>
  <c r="BK183" i="1"/>
  <c r="BD183" i="1"/>
  <c r="BK181" i="1"/>
  <c r="BD181" i="1"/>
  <c r="BK179" i="1"/>
  <c r="BD179" i="1"/>
  <c r="BL176" i="1"/>
  <c r="BE176" i="1"/>
  <c r="BK171" i="1"/>
  <c r="BD171" i="1"/>
  <c r="BI171" i="1"/>
  <c r="BB171" i="1"/>
  <c r="BK166" i="1"/>
  <c r="BD166" i="1"/>
  <c r="BI166" i="1"/>
  <c r="BB166" i="1"/>
  <c r="BL163" i="1"/>
  <c r="BK163" i="1"/>
  <c r="BL162" i="1"/>
  <c r="BE162" i="1"/>
  <c r="BL160" i="1"/>
  <c r="BE160" i="1"/>
  <c r="BJ160" i="1"/>
  <c r="BC160" i="1"/>
  <c r="BL154" i="1"/>
  <c r="BK152" i="1"/>
  <c r="BD152" i="1"/>
  <c r="BI152" i="1"/>
  <c r="BB152" i="1"/>
  <c r="BL149" i="1"/>
  <c r="BL147" i="1"/>
  <c r="BE147" i="1"/>
  <c r="BJ147" i="1"/>
  <c r="BC147" i="1"/>
  <c r="BL145" i="1"/>
  <c r="BE145" i="1"/>
  <c r="BJ145" i="1"/>
  <c r="BC145" i="1"/>
  <c r="BL143" i="1"/>
  <c r="BE143" i="1"/>
  <c r="BJ143" i="1"/>
  <c r="BC143" i="1"/>
  <c r="BL139" i="1"/>
  <c r="BJ139" i="1"/>
  <c r="BL138" i="1"/>
  <c r="BE138" i="1"/>
  <c r="BJ138" i="1"/>
  <c r="BC138" i="1"/>
  <c r="BL135" i="1"/>
  <c r="BE135" i="1"/>
  <c r="BJ135" i="1"/>
  <c r="BC135" i="1"/>
  <c r="BL129" i="1"/>
  <c r="BE129" i="1"/>
  <c r="BJ129" i="1"/>
  <c r="BC129" i="1"/>
  <c r="BL126" i="1"/>
  <c r="BE126" i="1"/>
  <c r="BJ126" i="1"/>
  <c r="BC126" i="1"/>
  <c r="BL124" i="1"/>
  <c r="BE124" i="1"/>
  <c r="BJ124" i="1"/>
  <c r="BC124" i="1"/>
  <c r="BL119" i="1"/>
  <c r="BE119" i="1"/>
  <c r="BJ119" i="1"/>
  <c r="BC119" i="1"/>
  <c r="BL114" i="1"/>
  <c r="BE114" i="1"/>
  <c r="BJ114" i="1"/>
  <c r="BC114" i="1"/>
  <c r="BL103" i="1"/>
  <c r="BE103" i="1"/>
  <c r="BJ103" i="1"/>
  <c r="BC103" i="1"/>
  <c r="BK91" i="1"/>
  <c r="BD91" i="1"/>
  <c r="BI91" i="1"/>
  <c r="BB91" i="1"/>
  <c r="BK83" i="1"/>
  <c r="BD83" i="1"/>
  <c r="BI83" i="1"/>
  <c r="BB83" i="1"/>
  <c r="BK81" i="1"/>
  <c r="BJ78" i="1"/>
  <c r="BC78" i="1"/>
  <c r="BJ76" i="1"/>
  <c r="BC76" i="1"/>
  <c r="BJ74" i="1"/>
  <c r="BC74" i="1"/>
  <c r="BJ72" i="1"/>
  <c r="BC72" i="1"/>
  <c r="BJ70" i="1"/>
  <c r="BC70" i="1"/>
  <c r="BJ68" i="1"/>
  <c r="BC68" i="1"/>
  <c r="BE49" i="1"/>
  <c r="BJ49" i="1"/>
  <c r="BC49" i="1"/>
  <c r="BE47" i="1"/>
  <c r="BJ47" i="1"/>
  <c r="BC47" i="1"/>
  <c r="BI44" i="1"/>
  <c r="BB44" i="1"/>
  <c r="BL43" i="1"/>
  <c r="BI41" i="1"/>
  <c r="BB41" i="1"/>
  <c r="BL40" i="1"/>
  <c r="BI39" i="1"/>
  <c r="BB39" i="1"/>
  <c r="BL34" i="1"/>
  <c r="BI32" i="1"/>
  <c r="BB32" i="1"/>
  <c r="BL31" i="1"/>
  <c r="BL29" i="1"/>
  <c r="BE29" i="1"/>
  <c r="BL27" i="1"/>
  <c r="BE27" i="1"/>
  <c r="BL25" i="1"/>
  <c r="BE25" i="1"/>
  <c r="BJ52" i="1"/>
  <c r="BC52" i="1"/>
  <c r="BC14" i="1"/>
  <c r="BC3" i="1"/>
  <c r="BD249" i="1"/>
  <c r="BB247" i="1"/>
  <c r="BB246" i="1"/>
  <c r="BB245" i="1"/>
  <c r="BB243" i="1"/>
  <c r="BB241" i="1"/>
  <c r="BB237" i="1"/>
  <c r="BB235" i="1"/>
  <c r="BB233" i="1"/>
  <c r="BB230" i="1"/>
  <c r="BC220" i="1"/>
  <c r="BC218" i="1"/>
  <c r="BC215" i="1"/>
  <c r="BC189" i="1"/>
  <c r="BC183" i="1"/>
  <c r="BC181" i="1"/>
  <c r="BC179" i="1"/>
  <c r="BD176" i="1"/>
  <c r="BE171" i="1"/>
  <c r="BE166" i="1"/>
  <c r="BE164" i="1"/>
  <c r="BB163" i="1"/>
  <c r="BB160" i="1"/>
  <c r="BE152" i="1"/>
  <c r="BD147" i="1"/>
  <c r="BD145" i="1"/>
  <c r="BD143" i="1"/>
  <c r="BD138" i="1"/>
  <c r="BD135" i="1"/>
  <c r="BD129" i="1"/>
  <c r="BD127" i="1"/>
  <c r="BD126" i="1"/>
  <c r="BD125" i="1"/>
  <c r="BD124" i="1"/>
  <c r="BD119" i="1"/>
  <c r="BB114" i="1"/>
  <c r="BB103" i="1"/>
  <c r="BE91" i="1"/>
  <c r="BE83" i="1"/>
  <c r="BD78" i="1"/>
  <c r="BD76" i="1"/>
  <c r="BD74" i="1"/>
  <c r="BD72" i="1"/>
  <c r="BD70" i="1"/>
  <c r="BD68" i="1"/>
  <c r="BD52" i="1"/>
  <c r="BD49" i="1"/>
  <c r="BD47" i="1"/>
  <c r="BC44" i="1"/>
  <c r="BC41" i="1"/>
  <c r="BC39" i="1"/>
  <c r="BC32" i="1"/>
  <c r="BB29" i="1"/>
  <c r="BB27" i="1"/>
  <c r="BB25" i="1"/>
  <c r="BB21" i="1"/>
  <c r="BB13" i="1"/>
  <c r="BC6" i="1"/>
  <c r="BK3" i="1"/>
  <c r="BJ249" i="1"/>
  <c r="BJ247" i="1"/>
  <c r="BJ246" i="1"/>
  <c r="BJ245" i="1"/>
  <c r="BJ244" i="1"/>
  <c r="BJ243" i="1"/>
  <c r="BL241" i="1"/>
  <c r="BL239" i="1"/>
  <c r="BL237" i="1"/>
  <c r="BL235" i="1"/>
  <c r="BL233" i="1"/>
  <c r="BL230" i="1"/>
  <c r="BL226" i="1"/>
  <c r="BI191" i="1"/>
  <c r="BI185" i="1"/>
  <c r="BI182" i="1"/>
  <c r="BI180" i="1"/>
  <c r="BI178" i="1"/>
  <c r="BJ175" i="1"/>
  <c r="BL171" i="1"/>
  <c r="BL164" i="1"/>
  <c r="BK159" i="1"/>
  <c r="BJ152" i="1"/>
  <c r="BI147" i="1"/>
  <c r="BI145" i="1"/>
  <c r="BI143" i="1"/>
  <c r="BI135" i="1"/>
  <c r="BI129" i="1"/>
  <c r="BK116" i="1"/>
  <c r="BK113" i="1"/>
  <c r="BK108" i="1"/>
  <c r="BK102" i="1"/>
  <c r="BJ91" i="1"/>
  <c r="BJ83" i="1"/>
  <c r="BL78" i="1"/>
  <c r="BL76" i="1"/>
  <c r="BL74" i="1"/>
  <c r="BL72" i="1"/>
  <c r="BL70" i="1"/>
  <c r="BL68" i="1"/>
  <c r="BL52" i="1"/>
  <c r="BL46" i="1"/>
  <c r="BK44" i="1"/>
  <c r="BK41" i="1"/>
  <c r="BK39" i="1"/>
  <c r="BK32" i="1"/>
  <c r="BK30" i="1"/>
  <c r="BJ28" i="1"/>
  <c r="BJ26" i="1"/>
  <c r="BJ24" i="1"/>
  <c r="BJ16" i="1"/>
  <c r="BJ14" i="1"/>
  <c r="BK6" i="1"/>
  <c r="BL5" i="1"/>
  <c r="BJ5" i="1"/>
  <c r="BK15" i="1"/>
  <c r="BI15" i="1"/>
  <c r="BD6" i="1"/>
  <c r="BI14" i="1"/>
  <c r="BK14" i="1"/>
  <c r="BD3" i="1"/>
  <c r="BB3" i="1"/>
  <c r="BK16" i="1"/>
  <c r="BI16" i="1"/>
  <c r="BK246" i="1"/>
  <c r="BI246" i="1"/>
  <c r="BK244" i="1"/>
  <c r="BI244" i="1"/>
  <c r="BK242" i="1"/>
  <c r="BI242" i="1"/>
  <c r="BK240" i="1"/>
  <c r="BI240" i="1"/>
  <c r="BK236" i="1"/>
  <c r="BI236" i="1"/>
  <c r="BK232" i="1"/>
  <c r="BI232" i="1"/>
  <c r="BK229" i="1"/>
  <c r="BI229" i="1"/>
  <c r="BK223" i="1"/>
  <c r="BJ221" i="1"/>
  <c r="BB220" i="1"/>
  <c r="BJ219" i="1"/>
  <c r="BB218" i="1"/>
  <c r="BJ217" i="1"/>
  <c r="BB215" i="1"/>
  <c r="BL191" i="1"/>
  <c r="BJ191" i="1"/>
  <c r="BB189" i="1"/>
  <c r="BL185" i="1"/>
  <c r="BJ185" i="1"/>
  <c r="BB183" i="1"/>
  <c r="BL182" i="1"/>
  <c r="BJ182" i="1"/>
  <c r="BB181" i="1"/>
  <c r="BL180" i="1"/>
  <c r="BJ180" i="1"/>
  <c r="BB179" i="1"/>
  <c r="BL178" i="1"/>
  <c r="BJ178" i="1"/>
  <c r="BK175" i="1"/>
  <c r="BI175" i="1"/>
  <c r="BJ170" i="1"/>
  <c r="BJ165" i="1"/>
  <c r="BJ162" i="1"/>
  <c r="BK161" i="1"/>
  <c r="BI159" i="1"/>
  <c r="BK150" i="1"/>
  <c r="BK146" i="1"/>
  <c r="BK144" i="1"/>
  <c r="BK141" i="1"/>
  <c r="BK137" i="1"/>
  <c r="BK136" i="1"/>
  <c r="BK134" i="1"/>
  <c r="BK128" i="1"/>
  <c r="BK127" i="1"/>
  <c r="BK125" i="1"/>
  <c r="BI116" i="1"/>
  <c r="BI113" i="1"/>
  <c r="BI108" i="1"/>
  <c r="BL101" i="1"/>
  <c r="BL84" i="1"/>
  <c r="BL82" i="1"/>
  <c r="BK77" i="1"/>
  <c r="BI77" i="1"/>
  <c r="BK75" i="1"/>
  <c r="BI75" i="1"/>
  <c r="BK73" i="1"/>
  <c r="BI73" i="1"/>
  <c r="BK71" i="1"/>
  <c r="BK69" i="1"/>
  <c r="BI69" i="1"/>
  <c r="BK65" i="1"/>
  <c r="BI65" i="1"/>
  <c r="BK46" i="1"/>
  <c r="BI46" i="1"/>
  <c r="BD44" i="1"/>
  <c r="BJ43" i="1"/>
  <c r="BD41" i="1"/>
  <c r="BJ40" i="1"/>
  <c r="BD39" i="1"/>
  <c r="BJ34" i="1"/>
  <c r="BD32" i="1"/>
  <c r="BJ31" i="1"/>
  <c r="BK28" i="1"/>
  <c r="BI28" i="1"/>
  <c r="BK26" i="1"/>
  <c r="BI26" i="1"/>
  <c r="BK24" i="1"/>
  <c r="BI24" i="1"/>
  <c r="BI52" i="1"/>
  <c r="BE52" i="1"/>
  <c r="BK174" i="1"/>
  <c r="BI174" i="1"/>
  <c r="BE3" i="1"/>
  <c r="BB249" i="1"/>
  <c r="BD247" i="1"/>
  <c r="BD246" i="1"/>
  <c r="BD245" i="1"/>
  <c r="BD244" i="1"/>
  <c r="BD243" i="1"/>
  <c r="BD242" i="1"/>
  <c r="BD241" i="1"/>
  <c r="BD240" i="1"/>
  <c r="BD237" i="1"/>
  <c r="BD236" i="1"/>
  <c r="BD235" i="1"/>
  <c r="BD233" i="1"/>
  <c r="BD232" i="1"/>
  <c r="BD230" i="1"/>
  <c r="BD229" i="1"/>
  <c r="BE221" i="1"/>
  <c r="BE220" i="1"/>
  <c r="BE219" i="1"/>
  <c r="BE218" i="1"/>
  <c r="BE217" i="1"/>
  <c r="BE215" i="1"/>
  <c r="BE191" i="1"/>
  <c r="BE189" i="1"/>
  <c r="BE185" i="1"/>
  <c r="BE183" i="1"/>
  <c r="BE182" i="1"/>
  <c r="BE181" i="1"/>
  <c r="BE180" i="1"/>
  <c r="BE179" i="1"/>
  <c r="BE178" i="1"/>
  <c r="BB176" i="1"/>
  <c r="BB175" i="1"/>
  <c r="BB174" i="1"/>
  <c r="BC171" i="1"/>
  <c r="BC170" i="1"/>
  <c r="BC166" i="1"/>
  <c r="BC165" i="1"/>
  <c r="BD163" i="1"/>
  <c r="BD162" i="1"/>
  <c r="BD160" i="1"/>
  <c r="BB146" i="1"/>
  <c r="BB144" i="1"/>
  <c r="BB141" i="1"/>
  <c r="BB138" i="1"/>
  <c r="BB136" i="1"/>
  <c r="BB134" i="1"/>
  <c r="BB126" i="1"/>
  <c r="BB124" i="1"/>
  <c r="BB119" i="1"/>
  <c r="BD114" i="1"/>
  <c r="BD103" i="1"/>
  <c r="BC101" i="1"/>
  <c r="BC84" i="1"/>
  <c r="BC82" i="1"/>
  <c r="BB78" i="1"/>
  <c r="BB77" i="1"/>
  <c r="BB76" i="1"/>
  <c r="BB75" i="1"/>
  <c r="BB74" i="1"/>
  <c r="BB73" i="1"/>
  <c r="BB72" i="1"/>
  <c r="BB71" i="1"/>
  <c r="BB70" i="1"/>
  <c r="BB69" i="1"/>
  <c r="BB68" i="1"/>
  <c r="BB65" i="1"/>
  <c r="BB52" i="1"/>
  <c r="BB49" i="1"/>
  <c r="BB47" i="1"/>
  <c r="BB46" i="1"/>
  <c r="BE44" i="1"/>
  <c r="BE43" i="1"/>
  <c r="BE41" i="1"/>
  <c r="BE40" i="1"/>
  <c r="BE39" i="1"/>
  <c r="BE34" i="1"/>
  <c r="BE32" i="1"/>
  <c r="BE31" i="1"/>
  <c r="BD29" i="1"/>
  <c r="BD28" i="1"/>
  <c r="BD27" i="1"/>
  <c r="BD26" i="1"/>
  <c r="BD25" i="1"/>
  <c r="BD24" i="1"/>
  <c r="BD21" i="1"/>
  <c r="BD16" i="1"/>
  <c r="BD15" i="1"/>
  <c r="BD14" i="1"/>
  <c r="BD13" i="1"/>
  <c r="BE6" i="1"/>
  <c r="BE5" i="1"/>
  <c r="BI3" i="1"/>
  <c r="BL249" i="1"/>
  <c r="BL247" i="1"/>
  <c r="BL246" i="1"/>
  <c r="BL245" i="1"/>
  <c r="BL244" i="1"/>
  <c r="BL243" i="1"/>
  <c r="BL242" i="1"/>
  <c r="BL240" i="1"/>
  <c r="BL236" i="1"/>
  <c r="BL232" i="1"/>
  <c r="BL229" i="1"/>
  <c r="BL223" i="1"/>
  <c r="BI221" i="1"/>
  <c r="BI219" i="1"/>
  <c r="BI217" i="1"/>
  <c r="BI215" i="1"/>
  <c r="BI189" i="1"/>
  <c r="BI183" i="1"/>
  <c r="BI181" i="1"/>
  <c r="BI179" i="1"/>
  <c r="BJ176" i="1"/>
  <c r="BJ174" i="1"/>
  <c r="BL170" i="1"/>
  <c r="BL165" i="1"/>
  <c r="BL112" i="1"/>
  <c r="BL77" i="1"/>
  <c r="BL75" i="1"/>
  <c r="BL73" i="1"/>
  <c r="BL71" i="1"/>
  <c r="BL69" i="1"/>
  <c r="BL65" i="1"/>
  <c r="BL49" i="1"/>
  <c r="BL47" i="1"/>
  <c r="BL45" i="1"/>
  <c r="BK43" i="1"/>
  <c r="BK40" i="1"/>
  <c r="BK34" i="1"/>
  <c r="BK31" i="1"/>
  <c r="BJ29" i="1"/>
  <c r="BJ27" i="1"/>
  <c r="BJ25" i="1"/>
  <c r="BJ21" i="1"/>
  <c r="BJ15" i="1"/>
  <c r="BJ13" i="1"/>
  <c r="BK5" i="1"/>
  <c r="AU238" i="1"/>
  <c r="AW238" i="1"/>
  <c r="AV238" i="1"/>
  <c r="AX238" i="1"/>
  <c r="BM238" i="1" s="1"/>
  <c r="BL238" i="1"/>
  <c r="BK238" i="1"/>
  <c r="BJ238" i="1"/>
  <c r="BG71" i="1" l="1"/>
  <c r="BF71" i="1"/>
  <c r="BF6" i="1"/>
  <c r="AX252" i="1"/>
  <c r="BF21" i="1"/>
  <c r="BF174" i="1"/>
  <c r="BG174" i="1"/>
  <c r="BF210" i="1"/>
  <c r="BF207" i="1"/>
  <c r="BF188" i="1"/>
  <c r="BG188" i="1"/>
  <c r="BF133" i="1"/>
  <c r="BG133" i="1"/>
  <c r="BF107" i="1"/>
  <c r="BF105" i="1"/>
  <c r="BF110" i="1"/>
  <c r="BG110" i="1"/>
  <c r="BF115" i="1"/>
  <c r="BG115" i="1"/>
  <c r="BF15" i="1"/>
  <c r="BG15" i="1"/>
  <c r="BF13" i="1"/>
  <c r="BF249" i="1"/>
  <c r="BG249" i="1"/>
  <c r="BF247" i="1"/>
  <c r="BG247" i="1"/>
  <c r="BF244" i="1"/>
  <c r="BG244" i="1"/>
  <c r="BF219" i="1"/>
  <c r="BG219" i="1"/>
  <c r="BF218" i="1"/>
  <c r="BG218" i="1"/>
  <c r="BF217" i="1"/>
  <c r="BG217" i="1"/>
  <c r="BF215" i="1"/>
  <c r="BG215" i="1"/>
  <c r="BF191" i="1"/>
  <c r="BG191" i="1"/>
  <c r="BF189" i="1"/>
  <c r="BG189" i="1"/>
  <c r="BF183" i="1"/>
  <c r="BG183" i="1"/>
  <c r="BF181" i="1"/>
  <c r="BF180" i="1"/>
  <c r="BF179" i="1"/>
  <c r="BG179" i="1"/>
  <c r="BF178" i="1"/>
  <c r="BG178" i="1"/>
  <c r="BF175" i="1"/>
  <c r="BG175" i="1"/>
  <c r="BF171" i="1"/>
  <c r="BG171" i="1"/>
  <c r="BF170" i="1"/>
  <c r="BF166" i="1"/>
  <c r="BG166" i="1"/>
  <c r="BF152" i="1"/>
  <c r="BG152" i="1"/>
  <c r="BF145" i="1"/>
  <c r="BG145" i="1"/>
  <c r="BF144" i="1"/>
  <c r="BG144" i="1"/>
  <c r="BF143" i="1"/>
  <c r="BG143" i="1"/>
  <c r="BF138" i="1"/>
  <c r="BG138" i="1"/>
  <c r="BF136" i="1"/>
  <c r="BG136" i="1"/>
  <c r="BF135" i="1"/>
  <c r="BF134" i="1"/>
  <c r="BG134" i="1"/>
  <c r="BF129" i="1"/>
  <c r="BG129" i="1"/>
  <c r="BF125" i="1"/>
  <c r="BG125" i="1"/>
  <c r="BF124" i="1"/>
  <c r="BG124" i="1"/>
  <c r="BF119" i="1"/>
  <c r="BG119" i="1"/>
  <c r="BF116" i="1"/>
  <c r="BG116" i="1"/>
  <c r="BF114" i="1"/>
  <c r="BG114" i="1"/>
  <c r="AV48" i="4"/>
  <c r="BI48" i="4"/>
  <c r="AV56" i="3"/>
  <c r="BF103" i="1"/>
  <c r="BF101" i="1"/>
  <c r="BG101" i="1"/>
  <c r="BF84" i="1"/>
  <c r="BF83" i="1"/>
  <c r="BF77" i="1"/>
  <c r="BG77" i="1"/>
  <c r="BF76" i="1"/>
  <c r="BG76" i="1"/>
  <c r="BF75" i="1"/>
  <c r="BG75" i="1"/>
  <c r="BF73" i="1"/>
  <c r="BG73" i="1"/>
  <c r="BF70" i="1"/>
  <c r="BG70" i="1"/>
  <c r="BF69" i="1"/>
  <c r="BG69" i="1"/>
  <c r="BF68" i="1"/>
  <c r="BG68" i="1"/>
  <c r="BF65" i="1"/>
  <c r="BF41" i="1"/>
  <c r="BG41" i="1"/>
  <c r="BF40" i="1"/>
  <c r="BG40" i="1"/>
  <c r="BF39" i="1"/>
  <c r="BG39" i="1"/>
  <c r="BF32" i="1"/>
  <c r="BG32" i="1"/>
  <c r="BF24" i="1"/>
  <c r="BG24" i="1"/>
  <c r="BF52" i="1"/>
  <c r="BG52" i="1"/>
  <c r="AV142" i="2"/>
  <c r="BF56" i="3"/>
  <c r="BD56" i="3"/>
  <c r="BG56" i="3"/>
  <c r="BE56" i="3"/>
  <c r="BM56" i="3"/>
  <c r="BK56" i="3"/>
  <c r="BN56" i="3"/>
  <c r="BL56" i="3"/>
  <c r="BF142" i="2"/>
  <c r="BD142" i="2"/>
  <c r="BG142" i="2"/>
  <c r="BE142" i="2"/>
  <c r="BN142" i="2"/>
  <c r="BL142" i="2"/>
  <c r="BM142" i="2"/>
  <c r="BK142" i="2"/>
  <c r="BI252" i="1"/>
  <c r="BE252" i="1"/>
  <c r="BB252" i="1"/>
  <c r="BD252" i="1"/>
  <c r="BK252" i="1"/>
  <c r="BC252" i="1"/>
  <c r="BL252" i="1"/>
  <c r="BJ252" i="1"/>
  <c r="Y252" i="1"/>
  <c r="Z252" i="1"/>
  <c r="AC252" i="1"/>
  <c r="BM3" i="1"/>
  <c r="BM252" i="1" s="1"/>
  <c r="AW252" i="1"/>
  <c r="AV252" i="1"/>
  <c r="AU252" i="1"/>
  <c r="BF3" i="1"/>
  <c r="AT252" i="1"/>
  <c r="BF48" i="4"/>
  <c r="BD48" i="4"/>
  <c r="BG48" i="4"/>
  <c r="BE48" i="4"/>
  <c r="BM48" i="4"/>
  <c r="BK48" i="4"/>
  <c r="BN48" i="4"/>
  <c r="BL48" i="4"/>
  <c r="BF5" i="1"/>
  <c r="AJ252" i="1"/>
  <c r="AJ251" i="1"/>
  <c r="AI252" i="1"/>
  <c r="AI251" i="1"/>
  <c r="AH252" i="1"/>
  <c r="AH251" i="1"/>
  <c r="AG252" i="1"/>
  <c r="AG251" i="1"/>
  <c r="AN252" i="1"/>
  <c r="AN251" i="1"/>
  <c r="AO252" i="1"/>
  <c r="AO251" i="1"/>
  <c r="AP252" i="1"/>
  <c r="AP251" i="1"/>
  <c r="AQ252" i="1"/>
  <c r="AQ251" i="1"/>
  <c r="BG252" i="1" l="1"/>
  <c r="BF252" i="1"/>
</calcChain>
</file>

<file path=xl/sharedStrings.xml><?xml version="1.0" encoding="utf-8"?>
<sst xmlns="http://schemas.openxmlformats.org/spreadsheetml/2006/main" count="2325" uniqueCount="436">
  <si>
    <t>Pašvaldības nosaukums</t>
  </si>
  <si>
    <t>Ādažu novada pašvaldība</t>
  </si>
  <si>
    <t>Aglonas novada pašvaldība</t>
  </si>
  <si>
    <t>Aizkraukles novada pašvaldība</t>
  </si>
  <si>
    <t>Alojas novada pašvaldība</t>
  </si>
  <si>
    <t>Alsungas novada pašvaldība</t>
  </si>
  <si>
    <t>Alūksnes novada pašvaldība</t>
  </si>
  <si>
    <t>Amatas novada pašvaldība</t>
  </si>
  <si>
    <t>Babītes novada pašvaldība</t>
  </si>
  <si>
    <t>Baldones novada pašvaldība</t>
  </si>
  <si>
    <t>Baltinavas novada pašvaldība</t>
  </si>
  <si>
    <t>Beverīnas novada pašvaldība</t>
  </si>
  <si>
    <t>Carnikavas novada pašvaldība</t>
  </si>
  <si>
    <t>Cesvaines novada pašvaldība</t>
  </si>
  <si>
    <t>Ciblas novada pašvaldība</t>
  </si>
  <si>
    <t>Daugavpils novada pašvaldība</t>
  </si>
  <si>
    <t>Dundagas novada pašvaldība</t>
  </si>
  <si>
    <t>Engures novada pašvaldība</t>
  </si>
  <si>
    <t>Ērgļu novada pašvaldība</t>
  </si>
  <si>
    <t>Garkalnes novada pašvaldība</t>
  </si>
  <si>
    <t>Inčukalna novada pašvaldība</t>
  </si>
  <si>
    <t>Jaunpiebalgas novada pašvaldība</t>
  </si>
  <si>
    <t>Jaunpils novada pašvaldība</t>
  </si>
  <si>
    <t>Jelgavas novada pašvaldība</t>
  </si>
  <si>
    <t>Kocēnu novada pašvaldība</t>
  </si>
  <si>
    <t>Krāslavas novada pašvaldība</t>
  </si>
  <si>
    <t>Krimuldas novada pašvaldība</t>
  </si>
  <si>
    <t>Krustpils novada pašvaldība</t>
  </si>
  <si>
    <t>Ķeguma novada pašvaldība</t>
  </si>
  <si>
    <t>Lielvārdes novada pašvaldība</t>
  </si>
  <si>
    <t>Lubānas novada pašvaldība</t>
  </si>
  <si>
    <t>Mālpils novada pašvaldība</t>
  </si>
  <si>
    <t>Mārupes novada pašvaldība</t>
  </si>
  <si>
    <t>Mazsalacas novada pašvaldība</t>
  </si>
  <si>
    <t>Naukšēnu novada pašvaldība</t>
  </si>
  <si>
    <t>Nīcas novada pašvaldība</t>
  </si>
  <si>
    <t>Ozolnieku novada pašvaldība</t>
  </si>
  <si>
    <t>Pārgaujas novada pašvaldība</t>
  </si>
  <si>
    <t>Pļaviņu novada pašvaldība</t>
  </si>
  <si>
    <t>Priekules novada pašvaldība</t>
  </si>
  <si>
    <t>Priekuļu novada pašvaldība</t>
  </si>
  <si>
    <t>Raunas novada pašvaldība</t>
  </si>
  <si>
    <t>Rēzeknes novada pašvaldība</t>
  </si>
  <si>
    <t>Riebiņu novada pašvaldība</t>
  </si>
  <si>
    <t>Rojas novada pašvaldība</t>
  </si>
  <si>
    <t>Ropažu novada pašvaldība</t>
  </si>
  <si>
    <t>Rucavas novada pašvaldība</t>
  </si>
  <si>
    <t>Rugāju novada pašvaldība</t>
  </si>
  <si>
    <t>Rundāles novada pašvaldība</t>
  </si>
  <si>
    <t>Salas novada pašvaldība</t>
  </si>
  <si>
    <t>Salaspils novada pašvaldība</t>
  </si>
  <si>
    <t>Saulkrastu novada pašvaldība</t>
  </si>
  <si>
    <t>Sējas novada pašvaldība</t>
  </si>
  <si>
    <t>Skrīveru novada pašvaldība</t>
  </si>
  <si>
    <t>Skrundas novada pašvaldība</t>
  </si>
  <si>
    <t>Stopiņu novada pašvaldība</t>
  </si>
  <si>
    <t>Strenču novada pašvaldība</t>
  </si>
  <si>
    <t>Tērvetes novada pašvaldība</t>
  </si>
  <si>
    <t>Vaiņodes novada pašvaldība</t>
  </si>
  <si>
    <t>Vārkavas novada pašvaldība</t>
  </si>
  <si>
    <t>Vecpiebalgas novada pašvaldība</t>
  </si>
  <si>
    <t>Vecumnieku novada Dome</t>
  </si>
  <si>
    <t>Viesītes novada pašvaldība</t>
  </si>
  <si>
    <t>Viļānu novada pašvaldība</t>
  </si>
  <si>
    <t>Zilupes novada pašvaldība</t>
  </si>
  <si>
    <t>N.p.k.</t>
  </si>
  <si>
    <t>2008. g.</t>
  </si>
  <si>
    <t xml:space="preserve">2009. g. </t>
  </si>
  <si>
    <t>2010. g.</t>
  </si>
  <si>
    <t>2006. g.</t>
  </si>
  <si>
    <t xml:space="preserve">2007. g. </t>
  </si>
  <si>
    <t>3.2. Parāds par siltumenerģiju (iedzīvotāju parādu kopējā summa), LVL</t>
  </si>
  <si>
    <t>2. Pašvaldības administratīvajā teritorijā piemēroto tarifu izmaiņas</t>
  </si>
  <si>
    <t>1.1. Dzīvojamo ēku skaits, kurās norēķini ar pakalpojuma sniedzēju tiek veikti ar pārvaldnieka starpniecību</t>
  </si>
  <si>
    <t>1.2. Lietotāju skaits, kuri norēķinus ar pakalpojuma sniedzēju veic uz individuālā līguma pamata</t>
  </si>
  <si>
    <t>1.3. Parādnieku skaits</t>
  </si>
  <si>
    <t>1.4. Tiesā celto prasību skaits par parādu piedziņu no iedzīvotājiem</t>
  </si>
  <si>
    <t>0,81Ls/1m2</t>
  </si>
  <si>
    <t>1,13Ls/1m2</t>
  </si>
  <si>
    <t>0,89Ls/1m2</t>
  </si>
  <si>
    <t>0,49Ls/m2</t>
  </si>
  <si>
    <t>0,61Ls/m2</t>
  </si>
  <si>
    <t>1,09Ls/m2</t>
  </si>
  <si>
    <t>0,79Ls/m2</t>
  </si>
  <si>
    <t>9,8+m.d.</t>
  </si>
  <si>
    <t>8,5+m.d.</t>
  </si>
  <si>
    <t>Zaķumuiža</t>
  </si>
  <si>
    <t>0,42Ls/m2</t>
  </si>
  <si>
    <t>0,52Ls/m2</t>
  </si>
  <si>
    <t>0,55Ls/m2</t>
  </si>
  <si>
    <t>0,59Ls/m2</t>
  </si>
  <si>
    <t>0,50Ls/m2</t>
  </si>
  <si>
    <t>0,45Ls/m2</t>
  </si>
  <si>
    <t>0,58Ls/m2</t>
  </si>
  <si>
    <t>0,64Ls/m2</t>
  </si>
  <si>
    <t>0,75Ls/m2</t>
  </si>
  <si>
    <t>Tiskādu internātpamatskola</t>
  </si>
  <si>
    <t>0,71Ls/m2</t>
  </si>
  <si>
    <t>0,80Ls/m2</t>
  </si>
  <si>
    <t>0,49 Ls/m2</t>
  </si>
  <si>
    <t>0,78 Ls/m2</t>
  </si>
  <si>
    <t>0,90 Ls/m2</t>
  </si>
  <si>
    <t>0,60 Ls/m2</t>
  </si>
  <si>
    <t>Vangaži</t>
  </si>
  <si>
    <t>0,83Ls/m2</t>
  </si>
  <si>
    <t>0,81 Ls/m2</t>
  </si>
  <si>
    <t>Vecumnieku pagasts</t>
  </si>
  <si>
    <t>Piltene</t>
  </si>
  <si>
    <t>0,38Ls/m2</t>
  </si>
  <si>
    <t>0,24 Ls/m2</t>
  </si>
  <si>
    <t>Ugāles pagasts</t>
  </si>
  <si>
    <t>Usmas pagasts</t>
  </si>
  <si>
    <t>0,26Ls/m2</t>
  </si>
  <si>
    <t>0,46Ls/m2</t>
  </si>
  <si>
    <t>0,71/m2</t>
  </si>
  <si>
    <t>0,30 Ls/m2</t>
  </si>
  <si>
    <t>Cīravas pagasts</t>
  </si>
  <si>
    <t>0,89Ls/m2</t>
  </si>
  <si>
    <t>1,12Ls/m2</t>
  </si>
  <si>
    <t>1,18Ls/m2</t>
  </si>
  <si>
    <t>Īslīces pagasts</t>
  </si>
  <si>
    <t>Mežotnes pagasts</t>
  </si>
  <si>
    <t>Burtnieku novada pašvaldība, Valmieras pagasts</t>
  </si>
  <si>
    <t>Dagdas novada pašvaldība, pilsēta</t>
  </si>
  <si>
    <t>Dagdas novada pašvaldība, Šķaunes pagasts</t>
  </si>
  <si>
    <t>0,30Ls/m2</t>
  </si>
  <si>
    <t>0,40Ls/m2</t>
  </si>
  <si>
    <t>0,60Ls/m2</t>
  </si>
  <si>
    <t>0,68Ls/m2</t>
  </si>
  <si>
    <t>Dagdas novada pašvaldība, Asūnes pagasts</t>
  </si>
  <si>
    <t>0,5Ls/m2</t>
  </si>
  <si>
    <t>0,62Ls/m2</t>
  </si>
  <si>
    <t>0,98Ls/m2</t>
  </si>
  <si>
    <t>0,69Ls/m2</t>
  </si>
  <si>
    <t>1,00Ls/m2</t>
  </si>
  <si>
    <t>1,10Ls/m2</t>
  </si>
  <si>
    <t>0,86Ls/m2</t>
  </si>
  <si>
    <t>Kalkūnes pagasts</t>
  </si>
  <si>
    <t>Višķu pagasts</t>
  </si>
  <si>
    <t>Nīcgales pagasts</t>
  </si>
  <si>
    <t>Kalupes pagasts</t>
  </si>
  <si>
    <t>0,65Ls/m2</t>
  </si>
  <si>
    <t>0,78Ls/m2</t>
  </si>
  <si>
    <t>0,91Ls/m2</t>
  </si>
  <si>
    <t>0,37Ls/m2</t>
  </si>
  <si>
    <t>0,90Ls/m2</t>
  </si>
  <si>
    <t>0,43Ls/m2</t>
  </si>
  <si>
    <t>0,53Ls/m2</t>
  </si>
  <si>
    <t>0,29Ls/m2</t>
  </si>
  <si>
    <t>0,47Ls/m2</t>
  </si>
  <si>
    <t>0,57Ls/m2</t>
  </si>
  <si>
    <t>0,66Ls/m2</t>
  </si>
  <si>
    <t>Druvienas pagasts</t>
  </si>
  <si>
    <t>Rankas pagasts</t>
  </si>
  <si>
    <t>Daukstu pagasts</t>
  </si>
  <si>
    <t>Lizuma pagasts</t>
  </si>
  <si>
    <t>Šķieneru ciems</t>
  </si>
  <si>
    <t>Stradu pagasts</t>
  </si>
  <si>
    <t>Gulbenes novada pašvaldība, pilsēta</t>
  </si>
  <si>
    <t>Lejasciema pagasts</t>
  </si>
  <si>
    <t>0,84Ls/m2</t>
  </si>
  <si>
    <t>Daudzeses pagasts</t>
  </si>
  <si>
    <t>Kuldīgas novada pašvaldība, pilsēta</t>
  </si>
  <si>
    <t>Kuldīgas novada pašvaldība, Pelču pagasts</t>
  </si>
  <si>
    <t>Kuldīgas novada pašvaldība, Rumbas pagasts</t>
  </si>
  <si>
    <t>0,33Ls/m2</t>
  </si>
  <si>
    <t>0,35Ls/m2</t>
  </si>
  <si>
    <t>0,36Ls/m2</t>
  </si>
  <si>
    <t>Kalsnavas pagasts</t>
  </si>
  <si>
    <t>Mazzalves pagasts</t>
  </si>
  <si>
    <t>Neretas novada pašvaldība, pagasts</t>
  </si>
  <si>
    <t>0,56Ls/m2</t>
  </si>
  <si>
    <t>Lauberes pagasts</t>
  </si>
  <si>
    <t>Suntažu pagasts</t>
  </si>
  <si>
    <t>Taurupes pagasts</t>
  </si>
  <si>
    <t>Cenu pagasts</t>
  </si>
  <si>
    <t>Pāvilostas novada pašvaldība, Pāvilosta</t>
  </si>
  <si>
    <t>Vērgales pagasts</t>
  </si>
  <si>
    <t>Tukuma novada pašvaldība, pilsēta</t>
  </si>
  <si>
    <t>1,40Ls/m2</t>
  </si>
  <si>
    <t>1,46Ls/m2</t>
  </si>
  <si>
    <t>0,97Ls/m2</t>
  </si>
  <si>
    <t>0,95Ls/m2</t>
  </si>
  <si>
    <t>0,63Ls/m2</t>
  </si>
  <si>
    <t>0,94Ls/m2</t>
  </si>
  <si>
    <t>0,73Ls/m2</t>
  </si>
  <si>
    <t>Sēmes pagasts</t>
  </si>
  <si>
    <t>Džūkstes pagasts</t>
  </si>
  <si>
    <t>Slampes pagasts</t>
  </si>
  <si>
    <t>Pūres pagasts</t>
  </si>
  <si>
    <t>Lestenes pagasts</t>
  </si>
  <si>
    <t>Tukuma novads</t>
  </si>
  <si>
    <t>Degoles pagasts</t>
  </si>
  <si>
    <t>Tumes pagasts</t>
  </si>
  <si>
    <t>Viļakas novada pašvaldība, Viļakas pilsēta</t>
  </si>
  <si>
    <t>0,70Ls/m2</t>
  </si>
  <si>
    <t>0,58LS/m2</t>
  </si>
  <si>
    <t>0,74Ls/m2</t>
  </si>
  <si>
    <t>0,50LS/m2</t>
  </si>
  <si>
    <t>Vecumu pagasts</t>
  </si>
  <si>
    <t>Šķilbēnu pagasts</t>
  </si>
  <si>
    <t>Kupravas pagasts</t>
  </si>
  <si>
    <t>Žīguru pagasts</t>
  </si>
  <si>
    <t>1,15Ls/m2</t>
  </si>
  <si>
    <t>1,15Ls/m3</t>
  </si>
  <si>
    <t>0,15Ls/m2</t>
  </si>
  <si>
    <t>0,17Ls/m2</t>
  </si>
  <si>
    <t>0,51Ls/m2</t>
  </si>
  <si>
    <t>Madonas novada pašvaldība, pilsēta</t>
  </si>
  <si>
    <t>Jaunjelgavas novada pašvaldība, pilsēta</t>
  </si>
  <si>
    <t>Rendēnu pagasts</t>
  </si>
  <si>
    <t>Ogres novada pašvaldība, pilsēta</t>
  </si>
  <si>
    <t>18,11+p.d.</t>
  </si>
  <si>
    <t>19,16+p.d.</t>
  </si>
  <si>
    <t>27,73+p.d.</t>
  </si>
  <si>
    <t>28,59+p.d.</t>
  </si>
  <si>
    <t>29,51+p.d.</t>
  </si>
  <si>
    <t>Ludzas novada pašvaldība, pilsēta</t>
  </si>
  <si>
    <t>Bauskas novada pašvaldība, pilsēta</t>
  </si>
  <si>
    <t>1,20Ls/m2</t>
  </si>
  <si>
    <t>01.10.2005-01.10.2006</t>
  </si>
  <si>
    <t>01.10.2006-01.10.2007</t>
  </si>
  <si>
    <t>01.10.2007-01.10.2008</t>
  </si>
  <si>
    <t>01.10.2008-01.10.2009</t>
  </si>
  <si>
    <t>01.10.2009-01.10.2010</t>
  </si>
  <si>
    <t>01.10.2009-01.09.2010</t>
  </si>
  <si>
    <t>-</t>
  </si>
  <si>
    <t>2008. gadā</t>
  </si>
  <si>
    <t>2009. gadā</t>
  </si>
  <si>
    <t>2010. gadā</t>
  </si>
  <si>
    <t>0,40 Ls/m2</t>
  </si>
  <si>
    <t>Valkas novada pašvaldība, pilsēta</t>
  </si>
  <si>
    <t>Daugmales pagasts</t>
  </si>
  <si>
    <t>Aizputes novada pašvaldība, pilsēta</t>
  </si>
  <si>
    <t>Alūksnes novada pašvaldība, pilsēta</t>
  </si>
  <si>
    <t>Bērzpils pagasts</t>
  </si>
  <si>
    <t>Krišjāņu pagasts</t>
  </si>
  <si>
    <t>Tiesā celto prasību skaits attiecībā pret parādnieku skaitu , %</t>
  </si>
  <si>
    <t>Talsu novada pašvaldība, pilsēta</t>
  </si>
  <si>
    <t>Valdemārpils</t>
  </si>
  <si>
    <t>0,77/m2</t>
  </si>
  <si>
    <t>Sabile</t>
  </si>
  <si>
    <t>Jaunpagasts</t>
  </si>
  <si>
    <t>Stende</t>
  </si>
  <si>
    <t>0,99Ls/m2</t>
  </si>
  <si>
    <t>Strazdes pagasts</t>
  </si>
  <si>
    <t>Ģibuļu pagasts, Pastede</t>
  </si>
  <si>
    <t>Ģibuļu pagasts, Spāde</t>
  </si>
  <si>
    <t>Laucenes pagasts</t>
  </si>
  <si>
    <t>Laidzes pagasts, Laidze</t>
  </si>
  <si>
    <t>Laidzes pagasts, Zvirgzdi</t>
  </si>
  <si>
    <t>Īves pagasts</t>
  </si>
  <si>
    <t>0,77Ls/m2</t>
  </si>
  <si>
    <t>0,15Ls/m2+m.m.</t>
  </si>
  <si>
    <t>Mundigciems</t>
  </si>
  <si>
    <t>Vandzene</t>
  </si>
  <si>
    <t>Siguldas novada pašvaldība, pilsēta</t>
  </si>
  <si>
    <t>Salienas pagasts</t>
  </si>
  <si>
    <t>Vaboles pagasts</t>
  </si>
  <si>
    <t>Cirmas pagasts</t>
  </si>
  <si>
    <t>Aronas pagasts</t>
  </si>
  <si>
    <t>Barkavas pagasts</t>
  </si>
  <si>
    <t>Bērzaunes pagasts</t>
  </si>
  <si>
    <t>Dzelzavas pagasts</t>
  </si>
  <si>
    <t>Liezēres pagasts</t>
  </si>
  <si>
    <t>Ļaudonas pagasts</t>
  </si>
  <si>
    <t>Mārcienas pagasts</t>
  </si>
  <si>
    <t>Sarkaņu pagasts</t>
  </si>
  <si>
    <t>Bērzgales pagasts</t>
  </si>
  <si>
    <t>Čornajas pagasts</t>
  </si>
  <si>
    <t>Dricānu pagasts</t>
  </si>
  <si>
    <t>Kaunatas pagasts</t>
  </si>
  <si>
    <t>Lūznavas pagasts</t>
  </si>
  <si>
    <t>Stoļerovas pagasts</t>
  </si>
  <si>
    <t>Maltas pagasts</t>
  </si>
  <si>
    <t>Stružānu pagasts</t>
  </si>
  <si>
    <t>Saulaines pagasts</t>
  </si>
  <si>
    <t>Pampāļu pagasts</t>
  </si>
  <si>
    <t>Nīgrandes pagasts</t>
  </si>
  <si>
    <t>Ezeres pagasts</t>
  </si>
  <si>
    <t>Lutriņu pagasts</t>
  </si>
  <si>
    <t>Valles pagasts</t>
  </si>
  <si>
    <t>Puzes pagasts</t>
  </si>
  <si>
    <t>Tārgales pagasts</t>
  </si>
  <si>
    <t>Vārves pagasts</t>
  </si>
  <si>
    <t>Jūrkalnes pagasts</t>
  </si>
  <si>
    <t>Ances pagasts</t>
  </si>
  <si>
    <t>Balvu novada pašvaldība, pilsēta</t>
  </si>
  <si>
    <t>Brocēnu novada pašvaldība, pilsēta</t>
  </si>
  <si>
    <t>Dobeles novada pašvaldība, pilsēta</t>
  </si>
  <si>
    <t>Grobiņas novada pašvaldība, pilsēta</t>
  </si>
  <si>
    <t>Ikšķiles novada dome, pilsēta</t>
  </si>
  <si>
    <t>Kandavas novada pašvaldība, pilsēta</t>
  </si>
  <si>
    <t>Līvānu novada pašvaldība, pilsēta</t>
  </si>
  <si>
    <t>Olaines novada pašvaldība, pilsēta</t>
  </si>
  <si>
    <t>Olaines pagasts</t>
  </si>
  <si>
    <t>Rūjienas novada pašvaldība, pilsēta</t>
  </si>
  <si>
    <t>Salacgrīvas novada pašvaldība, pilsēta</t>
  </si>
  <si>
    <t>Saldus novada pašvaldība, pilsēta</t>
  </si>
  <si>
    <t>3.3. Iedzīvotāju parādu īpatsvars pret izsniegtajos rēķinos norādīto maksas apmēru (3.2.punkts/3.1.punkts), %</t>
  </si>
  <si>
    <t>3.1. Iedzīvotājiem izsniegtie rēķini par siltumenerģiju (kopējā summa), LVL</t>
  </si>
  <si>
    <t>Parādu % izmaiņas pret bāzes (2006) gadu, procentpunkti</t>
  </si>
  <si>
    <t>Parādu % izmaiņas pret iepriekšējo gadu, procentpunkti</t>
  </si>
  <si>
    <t>Baloži</t>
  </si>
  <si>
    <t>Naujienes pagasts</t>
  </si>
  <si>
    <t>Sventes pagasts</t>
  </si>
  <si>
    <t>Naujienas pagasts</t>
  </si>
  <si>
    <t>0,45 Ls/m2</t>
  </si>
  <si>
    <t>0,55 Ls/m2</t>
  </si>
  <si>
    <t>0,65 Ls/m2</t>
  </si>
  <si>
    <t>0,72 Ls/m2</t>
  </si>
  <si>
    <t>Smārdes pagasts, Milzkalne</t>
  </si>
  <si>
    <t>Lapmežciems</t>
  </si>
  <si>
    <t>Stalbes pagasts</t>
  </si>
  <si>
    <t>12,29+p.d.</t>
  </si>
  <si>
    <t>11,81+p.d.</t>
  </si>
  <si>
    <t>16.52+m.d.</t>
  </si>
  <si>
    <t>Jumpravas pagasts</t>
  </si>
  <si>
    <t>Lēdmanes pagasts</t>
  </si>
  <si>
    <t>2011. g.</t>
  </si>
  <si>
    <t>Tarifu izmaiņas 2011. gadā attiecībā pret 2010. gada tarifiem, %</t>
  </si>
  <si>
    <t>Parādnieku skaita izmaiņas 2011. gadā attiecībā pret 2010. gada parādnieku skaitu, %</t>
  </si>
  <si>
    <t>Aizputes pagasts</t>
  </si>
  <si>
    <t>Kazdangas pagasts</t>
  </si>
  <si>
    <t>Burtnieku pagasts</t>
  </si>
  <si>
    <t>Smārdes pagasts, Smārde</t>
  </si>
  <si>
    <t>Smārdes pagasts, Šlokenbeka</t>
  </si>
  <si>
    <t>Malnavas pagasts</t>
  </si>
  <si>
    <t>Kārsavas novada pašvaldība, pilsēta</t>
  </si>
  <si>
    <t>Iršu pagasts</t>
  </si>
  <si>
    <t>Madlienas pagasts</t>
  </si>
  <si>
    <t>Ķeipenes pagasts</t>
  </si>
  <si>
    <t>Liepas/Mārsēnu</t>
  </si>
  <si>
    <t>Priekuļu pagasts</t>
  </si>
  <si>
    <t>Apes novada pašvaldība, Gaujienas pag.</t>
  </si>
  <si>
    <t>0,51Ls/1m2</t>
  </si>
  <si>
    <t>Rubas pagasts</t>
  </si>
  <si>
    <t>0,4 Ls/m2</t>
  </si>
  <si>
    <t>Valkas novads</t>
  </si>
  <si>
    <t>0,72Ls/m2</t>
  </si>
  <si>
    <t>1,11Ls/m2</t>
  </si>
  <si>
    <t>Jauntukums</t>
  </si>
  <si>
    <t>1,49Ls/m2</t>
  </si>
  <si>
    <t>0,96Ls/m2</t>
  </si>
  <si>
    <t>Ēdoles pagasts</t>
  </si>
  <si>
    <t xml:space="preserve"> </t>
  </si>
  <si>
    <t>Ķekavas novada pašvaldība, Ķekavas pagasts</t>
  </si>
  <si>
    <t>Jaunmārupe</t>
  </si>
  <si>
    <t>Durbes novada pašvaldība, Vecpils pagasts</t>
  </si>
  <si>
    <t>Dunalkas pagasts</t>
  </si>
  <si>
    <t>Lietotāju skaits līdz 50</t>
  </si>
  <si>
    <t>Lietotāju skaits līdz 500</t>
  </si>
  <si>
    <t>Lietotāju skaits virs 500</t>
  </si>
  <si>
    <t xml:space="preserve">2011. g. </t>
  </si>
  <si>
    <t>Kopā pašvaldībās:</t>
  </si>
  <si>
    <t xml:space="preserve">Vidēji pašvaldībā: </t>
  </si>
  <si>
    <t>Grobiņas novads</t>
  </si>
  <si>
    <t>Medze</t>
  </si>
  <si>
    <t>1,089 Ls/m2</t>
  </si>
  <si>
    <t>1,19 Ls/m2</t>
  </si>
  <si>
    <t>Kopā pašvaldībā:</t>
  </si>
  <si>
    <t>Vidēji pāsvladībā:</t>
  </si>
  <si>
    <t>2011. gadā</t>
  </si>
  <si>
    <t>Vidēji pašvaldībā:</t>
  </si>
  <si>
    <t>Varakļānu novada pašvaldība, pilsēta</t>
  </si>
  <si>
    <t>Beļavas pagasts</t>
  </si>
  <si>
    <t>Ģibuļu pagasts</t>
  </si>
  <si>
    <t>Abavas novads</t>
  </si>
  <si>
    <t>0,92Ls/m2</t>
  </si>
  <si>
    <t>Virbu pagasts</t>
  </si>
  <si>
    <t>Kandavas novada pašvaldība</t>
  </si>
  <si>
    <t>2012.g.</t>
  </si>
  <si>
    <t>1.2. Lietotāju skaits, kuri norēķinus ar pakalpojuma sniedzēju, veic uz individuālā līguma pamata</t>
  </si>
  <si>
    <t>Tarifu izmaiņas 2012. gadā attiecībā pret 2011. gada tarifiem, %</t>
  </si>
  <si>
    <t>Parādnieku skaita izmaiņas 2012. gadā attiecībā pret 2011. gada parādnieku skaitu, %</t>
  </si>
  <si>
    <t>2012.G.</t>
  </si>
  <si>
    <t>2012. g.</t>
  </si>
  <si>
    <t>Ilūkstes novada pašvaldība, Šēderes pagasts</t>
  </si>
  <si>
    <t>Dvietes ciems</t>
  </si>
  <si>
    <t>Preiļu novada pašvaldība, pilsēta</t>
  </si>
  <si>
    <t>0,66Ls/m3</t>
  </si>
  <si>
    <t>Jēkabpils novada pašvaldība, Ābeļu pagasts</t>
  </si>
  <si>
    <t>Dunavas pagasts</t>
  </si>
  <si>
    <t>Jēkabpils novada pašvaldība, Dunavas pagasts</t>
  </si>
  <si>
    <t>Zasa</t>
  </si>
  <si>
    <t>0.86Ls/m2</t>
  </si>
  <si>
    <t>Zasas pagasts</t>
  </si>
  <si>
    <t>Auces novada pašvaldība, Bēne</t>
  </si>
  <si>
    <t>Limbažu novada pašvaldība, pilsēta</t>
  </si>
  <si>
    <t>Kokneses novada pašvaldība, Kokneses pagasts</t>
  </si>
  <si>
    <t>1.06Ls/m2</t>
  </si>
  <si>
    <t>Līgatnes novada pašvaldība</t>
  </si>
  <si>
    <t>1.68Ls/m2</t>
  </si>
  <si>
    <t>0.70Ls/m2</t>
  </si>
  <si>
    <t>0,68Ls/m3</t>
  </si>
  <si>
    <t>0,78Ls/m3</t>
  </si>
  <si>
    <t>Palsmanes pagasts</t>
  </si>
  <si>
    <t>Bilskas pagasts</t>
  </si>
  <si>
    <t>Smiltenes novada pašvaldība, pilsēta</t>
  </si>
  <si>
    <t>Variņu pagasts</t>
  </si>
  <si>
    <t>1.04Ls/m2</t>
  </si>
  <si>
    <t>Cēsu novada pašvaldība, pilsēta</t>
  </si>
  <si>
    <t>1,265Ls/m2</t>
  </si>
  <si>
    <t>1,08Ls/m2</t>
  </si>
  <si>
    <t>1,04Ls/m2</t>
  </si>
  <si>
    <t>1,00Ls/m3</t>
  </si>
  <si>
    <t>Iecavas novada pašvaldība, pilsēta</t>
  </si>
  <si>
    <t>1,33Ls/m2</t>
  </si>
  <si>
    <t>1,33Ls/m1</t>
  </si>
  <si>
    <t>1,33Ls/m0</t>
  </si>
  <si>
    <t>0,85Ls/m2</t>
  </si>
  <si>
    <t>0,145Ls/m2</t>
  </si>
  <si>
    <t>2,77Ls/m2</t>
  </si>
  <si>
    <t>Tadaiķu pagasts</t>
  </si>
  <si>
    <t>Durbes novads, Durbe</t>
  </si>
  <si>
    <t>Aknīstes novada pašvaldība, pilsēta</t>
  </si>
  <si>
    <t>Gārsenes pagasts</t>
  </si>
  <si>
    <t>Asares pagasts</t>
  </si>
  <si>
    <t>Lielauces pagasts</t>
  </si>
  <si>
    <t>0,48Ls/m2</t>
  </si>
  <si>
    <t>Ventspils novada pašvaldība (pagasti kopā)</t>
  </si>
  <si>
    <t>1.08Ls/m2</t>
  </si>
  <si>
    <t>0.50Ls/m2</t>
  </si>
  <si>
    <t>0.60Ls/m2</t>
  </si>
  <si>
    <t>0.80Ls/m2</t>
  </si>
  <si>
    <t>0.90Ls/m3</t>
  </si>
  <si>
    <t>0.97Ls/m2</t>
  </si>
  <si>
    <t>0.78Ls/m3</t>
  </si>
  <si>
    <t>0.46Ls/m2</t>
  </si>
  <si>
    <t>1.265Ls/m2</t>
  </si>
  <si>
    <t>N.p.k. no 1.lpp</t>
  </si>
  <si>
    <t>0,39Ls/m2</t>
  </si>
  <si>
    <t>83</t>
  </si>
  <si>
    <t>01.10.2010- 01.09.2011</t>
  </si>
  <si>
    <t>01.10.2011- 01.09.2012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</si>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</sst>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,&quot;Ls&quot;"/>
    <numFmt numFmtId="165" formatCode="0.0%"/>
    <numFmt numFmtId="166" formatCode="0.0"/>
  </numFmts>
  <fonts count="11" x14ac:knownFonts="1">
    <font>
      <sz val="11"/>
      <color theme="1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4"/>
      <color theme="1"/>
      <name val="Verdana"/>
      <family val="2"/>
      <charset val="186"/>
    </font>
    <font>
      <sz val="11"/>
      <color rgb="FFC0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9" fontId="2" fillId="0" borderId="0" applyFont="0" applyFill="0" applyBorder="0" applyAlignment="0" applyProtection="0"/>
  </cellStyleXfs>
  <cellXfs count="420">
    <xf numFmtId="0" fontId="0" fillId="0" borderId="0" xfId="0"/>
    <xf numFmtId="0" fontId="0" fillId="0" borderId="0" xfId="0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1" fontId="6" fillId="3" borderId="14" xfId="0" applyNumberFormat="1" applyFont="1" applyFill="1" applyBorder="1" applyAlignment="1">
      <alignment horizontal="center" vertical="center"/>
    </xf>
    <xf numFmtId="165" fontId="6" fillId="3" borderId="13" xfId="2" applyNumberFormat="1" applyFont="1" applyFill="1" applyBorder="1" applyAlignment="1">
      <alignment horizontal="center" vertical="center"/>
    </xf>
    <xf numFmtId="166" fontId="6" fillId="3" borderId="13" xfId="2" applyNumberFormat="1" applyFont="1" applyFill="1" applyBorder="1" applyAlignment="1">
      <alignment horizontal="center" vertical="center"/>
    </xf>
    <xf numFmtId="166" fontId="6" fillId="3" borderId="13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65" fontId="6" fillId="4" borderId="1" xfId="2" applyNumberFormat="1" applyFont="1" applyFill="1" applyBorder="1" applyAlignment="1">
      <alignment horizontal="center" vertical="center"/>
    </xf>
    <xf numFmtId="165" fontId="6" fillId="4" borderId="2" xfId="2" applyNumberFormat="1" applyFont="1" applyFill="1" applyBorder="1" applyAlignment="1">
      <alignment horizontal="center" vertical="center"/>
    </xf>
    <xf numFmtId="165" fontId="6" fillId="4" borderId="3" xfId="2" applyNumberFormat="1" applyFont="1" applyFill="1" applyBorder="1" applyAlignment="1">
      <alignment horizontal="center" vertical="center"/>
    </xf>
    <xf numFmtId="166" fontId="6" fillId="4" borderId="2" xfId="2" applyNumberFormat="1" applyFont="1" applyFill="1" applyBorder="1" applyAlignment="1">
      <alignment horizontal="center" vertical="center"/>
    </xf>
    <xf numFmtId="166" fontId="6" fillId="4" borderId="3" xfId="2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66" fontId="6" fillId="4" borderId="3" xfId="0" applyNumberFormat="1" applyFont="1" applyFill="1" applyBorder="1" applyAlignment="1">
      <alignment horizontal="center" vertical="center"/>
    </xf>
    <xf numFmtId="165" fontId="6" fillId="4" borderId="15" xfId="2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horizontal="center" vertical="center"/>
    </xf>
    <xf numFmtId="165" fontId="6" fillId="3" borderId="2" xfId="2" applyNumberFormat="1" applyFont="1" applyFill="1" applyBorder="1" applyAlignment="1">
      <alignment horizontal="center" vertical="center"/>
    </xf>
    <xf numFmtId="165" fontId="6" fillId="3" borderId="3" xfId="2" applyNumberFormat="1" applyFont="1" applyFill="1" applyBorder="1" applyAlignment="1">
      <alignment horizontal="center" vertical="center"/>
    </xf>
    <xf numFmtId="166" fontId="6" fillId="3" borderId="2" xfId="2" applyNumberFormat="1" applyFont="1" applyFill="1" applyBorder="1" applyAlignment="1">
      <alignment horizontal="center" vertical="center"/>
    </xf>
    <xf numFmtId="166" fontId="6" fillId="3" borderId="3" xfId="2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center" vertical="center"/>
    </xf>
    <xf numFmtId="165" fontId="6" fillId="3" borderId="15" xfId="2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2" fontId="6" fillId="5" borderId="3" xfId="0" applyNumberFormat="1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165" fontId="6" fillId="5" borderId="2" xfId="2" applyNumberFormat="1" applyFont="1" applyFill="1" applyBorder="1" applyAlignment="1">
      <alignment horizontal="center" vertical="center"/>
    </xf>
    <xf numFmtId="165" fontId="6" fillId="5" borderId="3" xfId="2" applyNumberFormat="1" applyFont="1" applyFill="1" applyBorder="1" applyAlignment="1">
      <alignment horizontal="center" vertical="center"/>
    </xf>
    <xf numFmtId="166" fontId="6" fillId="5" borderId="2" xfId="2" applyNumberFormat="1" applyFont="1" applyFill="1" applyBorder="1" applyAlignment="1">
      <alignment horizontal="center" vertical="center"/>
    </xf>
    <xf numFmtId="166" fontId="6" fillId="5" borderId="3" xfId="2" applyNumberFormat="1" applyFont="1" applyFill="1" applyBorder="1" applyAlignment="1">
      <alignment horizontal="center" vertical="center"/>
    </xf>
    <xf numFmtId="166" fontId="6" fillId="5" borderId="2" xfId="0" applyNumberFormat="1" applyFont="1" applyFill="1" applyBorder="1" applyAlignment="1">
      <alignment horizontal="center" vertical="center"/>
    </xf>
    <xf numFmtId="166" fontId="6" fillId="5" borderId="3" xfId="0" applyNumberFormat="1" applyFont="1" applyFill="1" applyBorder="1" applyAlignment="1">
      <alignment horizontal="center" vertical="center"/>
    </xf>
    <xf numFmtId="165" fontId="6" fillId="5" borderId="15" xfId="2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65" fontId="6" fillId="0" borderId="2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5" borderId="17" xfId="0" applyNumberFormat="1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1" fontId="6" fillId="5" borderId="19" xfId="0" applyNumberFormat="1" applyFont="1" applyFill="1" applyBorder="1" applyAlignment="1">
      <alignment horizontal="center" vertical="center"/>
    </xf>
    <xf numFmtId="1" fontId="6" fillId="5" borderId="20" xfId="0" applyNumberFormat="1" applyFont="1" applyFill="1" applyBorder="1" applyAlignment="1">
      <alignment horizontal="center" vertical="center"/>
    </xf>
    <xf numFmtId="165" fontId="6" fillId="5" borderId="19" xfId="2" applyNumberFormat="1" applyFont="1" applyFill="1" applyBorder="1" applyAlignment="1">
      <alignment horizontal="center" vertical="center"/>
    </xf>
    <xf numFmtId="165" fontId="6" fillId="5" borderId="20" xfId="2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2" fontId="7" fillId="0" borderId="22" xfId="0" applyNumberFormat="1" applyFont="1" applyFill="1" applyBorder="1" applyAlignment="1">
      <alignment horizontal="center" vertical="center"/>
    </xf>
    <xf numFmtId="165" fontId="7" fillId="0" borderId="22" xfId="2" applyNumberFormat="1" applyFont="1" applyFill="1" applyBorder="1" applyAlignment="1">
      <alignment horizontal="center" vertical="center"/>
    </xf>
    <xf numFmtId="165" fontId="7" fillId="4" borderId="22" xfId="2" applyNumberFormat="1" applyFont="1" applyFill="1" applyBorder="1" applyAlignment="1">
      <alignment horizontal="center" vertical="center"/>
    </xf>
    <xf numFmtId="2" fontId="7" fillId="5" borderId="22" xfId="0" applyNumberFormat="1" applyFont="1" applyFill="1" applyBorder="1" applyAlignment="1">
      <alignment horizontal="center" vertical="center"/>
    </xf>
    <xf numFmtId="165" fontId="7" fillId="5" borderId="22" xfId="2" applyNumberFormat="1" applyFont="1" applyFill="1" applyBorder="1" applyAlignment="1">
      <alignment horizontal="center" vertical="center"/>
    </xf>
    <xf numFmtId="2" fontId="7" fillId="3" borderId="22" xfId="0" applyNumberFormat="1" applyFont="1" applyFill="1" applyBorder="1" applyAlignment="1">
      <alignment horizontal="center" vertical="center"/>
    </xf>
    <xf numFmtId="165" fontId="7" fillId="3" borderId="22" xfId="2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6" xfId="1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165" fontId="9" fillId="3" borderId="2" xfId="2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7" fillId="4" borderId="6" xfId="1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1" fontId="7" fillId="0" borderId="22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2" fontId="6" fillId="5" borderId="16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2" fontId="6" fillId="5" borderId="7" xfId="0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5" fontId="7" fillId="0" borderId="0" xfId="2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left" vertical="center"/>
    </xf>
    <xf numFmtId="2" fontId="6" fillId="3" borderId="14" xfId="0" applyNumberFormat="1" applyFont="1" applyFill="1" applyBorder="1" applyAlignment="1">
      <alignment horizontal="center" vertical="center"/>
    </xf>
    <xf numFmtId="165" fontId="9" fillId="4" borderId="2" xfId="2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" fontId="6" fillId="0" borderId="22" xfId="0" applyNumberFormat="1" applyFont="1" applyFill="1" applyBorder="1" applyAlignment="1">
      <alignment horizontal="center" vertical="center"/>
    </xf>
    <xf numFmtId="1" fontId="7" fillId="0" borderId="22" xfId="0" applyNumberFormat="1" applyFont="1" applyFill="1" applyBorder="1" applyAlignment="1">
      <alignment vertical="center"/>
    </xf>
    <xf numFmtId="165" fontId="6" fillId="5" borderId="27" xfId="2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2" fontId="0" fillId="0" borderId="29" xfId="0" applyNumberFormat="1" applyFill="1" applyBorder="1" applyAlignment="1">
      <alignment horizontal="center" vertical="center"/>
    </xf>
    <xf numFmtId="2" fontId="7" fillId="0" borderId="29" xfId="0" applyNumberFormat="1" applyFont="1" applyFill="1" applyBorder="1" applyAlignment="1">
      <alignment horizontal="center" vertical="center"/>
    </xf>
    <xf numFmtId="2" fontId="4" fillId="0" borderId="22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65" fontId="6" fillId="4" borderId="7" xfId="2" applyNumberFormat="1" applyFont="1" applyFill="1" applyBorder="1" applyAlignment="1">
      <alignment horizontal="center" vertical="center"/>
    </xf>
    <xf numFmtId="166" fontId="6" fillId="4" borderId="7" xfId="2" applyNumberFormat="1" applyFont="1" applyFill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/>
    </xf>
    <xf numFmtId="0" fontId="0" fillId="4" borderId="22" xfId="0" applyFill="1" applyBorder="1" applyAlignment="1">
      <alignment horizontal="center" vertical="center"/>
    </xf>
    <xf numFmtId="0" fontId="0" fillId="4" borderId="22" xfId="0" applyFill="1" applyBorder="1" applyAlignment="1">
      <alignment horizontal="left" vertical="center"/>
    </xf>
    <xf numFmtId="165" fontId="6" fillId="5" borderId="7" xfId="2" applyNumberFormat="1" applyFont="1" applyFill="1" applyBorder="1" applyAlignment="1">
      <alignment horizontal="center" vertical="center"/>
    </xf>
    <xf numFmtId="1" fontId="0" fillId="4" borderId="22" xfId="0" applyNumberFormat="1" applyFill="1" applyBorder="1" applyAlignment="1">
      <alignment horizontal="center" vertical="center"/>
    </xf>
    <xf numFmtId="2" fontId="0" fillId="4" borderId="22" xfId="0" applyNumberFormat="1" applyFill="1" applyBorder="1" applyAlignment="1">
      <alignment horizontal="center" vertical="center"/>
    </xf>
    <xf numFmtId="165" fontId="0" fillId="4" borderId="22" xfId="0" applyNumberFormat="1" applyFill="1" applyBorder="1" applyAlignment="1">
      <alignment horizontal="center" vertical="center"/>
    </xf>
    <xf numFmtId="166" fontId="0" fillId="4" borderId="22" xfId="0" applyNumberForma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1" fontId="6" fillId="5" borderId="18" xfId="0" applyNumberFormat="1" applyFont="1" applyFill="1" applyBorder="1" applyAlignment="1">
      <alignment horizontal="center" vertical="center"/>
    </xf>
    <xf numFmtId="165" fontId="6" fillId="5" borderId="18" xfId="2" applyNumberFormat="1" applyFont="1" applyFill="1" applyBorder="1" applyAlignment="1">
      <alignment horizontal="center" vertical="center"/>
    </xf>
    <xf numFmtId="166" fontId="6" fillId="5" borderId="7" xfId="2" applyNumberFormat="1" applyFont="1" applyFill="1" applyBorder="1" applyAlignment="1">
      <alignment horizontal="center" vertical="center"/>
    </xf>
    <xf numFmtId="166" fontId="6" fillId="5" borderId="7" xfId="0" applyNumberFormat="1" applyFont="1" applyFill="1" applyBorder="1" applyAlignment="1">
      <alignment horizontal="center" vertical="center"/>
    </xf>
    <xf numFmtId="165" fontId="6" fillId="5" borderId="34" xfId="2" applyNumberFormat="1" applyFont="1" applyFill="1" applyBorder="1" applyAlignment="1">
      <alignment horizontal="center" vertical="center"/>
    </xf>
    <xf numFmtId="166" fontId="6" fillId="5" borderId="20" xfId="2" applyNumberFormat="1" applyFont="1" applyFill="1" applyBorder="1" applyAlignment="1">
      <alignment horizontal="center" vertical="center"/>
    </xf>
    <xf numFmtId="166" fontId="6" fillId="5" borderId="20" xfId="0" applyNumberFormat="1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left" vertical="center"/>
    </xf>
    <xf numFmtId="0" fontId="0" fillId="5" borderId="22" xfId="0" applyFill="1" applyBorder="1" applyAlignment="1">
      <alignment horizontal="center" vertical="center"/>
    </xf>
    <xf numFmtId="0" fontId="0" fillId="5" borderId="22" xfId="0" applyFill="1" applyBorder="1" applyAlignment="1">
      <alignment horizontal="left" vertical="center"/>
    </xf>
    <xf numFmtId="1" fontId="0" fillId="5" borderId="22" xfId="0" applyNumberForma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  <xf numFmtId="165" fontId="6" fillId="3" borderId="7" xfId="2" applyNumberFormat="1" applyFont="1" applyFill="1" applyBorder="1" applyAlignment="1">
      <alignment horizontal="center" vertical="center"/>
    </xf>
    <xf numFmtId="166" fontId="6" fillId="3" borderId="7" xfId="2" applyNumberFormat="1" applyFont="1" applyFill="1" applyBorder="1" applyAlignment="1">
      <alignment horizontal="center" vertical="center"/>
    </xf>
    <xf numFmtId="166" fontId="6" fillId="3" borderId="7" xfId="0" applyNumberFormat="1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/>
    </xf>
    <xf numFmtId="0" fontId="0" fillId="3" borderId="22" xfId="0" applyFill="1" applyBorder="1" applyAlignment="1">
      <alignment horizontal="center" vertical="center"/>
    </xf>
    <xf numFmtId="0" fontId="0" fillId="3" borderId="22" xfId="0" applyFill="1" applyBorder="1" applyAlignment="1">
      <alignment horizontal="left" vertical="center"/>
    </xf>
    <xf numFmtId="1" fontId="0" fillId="3" borderId="22" xfId="0" applyNumberForma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0" fillId="4" borderId="24" xfId="0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2" fontId="6" fillId="0" borderId="36" xfId="0" applyNumberFormat="1" applyFont="1" applyFill="1" applyBorder="1" applyAlignment="1">
      <alignment horizontal="center" vertical="center"/>
    </xf>
    <xf numFmtId="2" fontId="6" fillId="4" borderId="22" xfId="0" applyNumberFormat="1" applyFont="1" applyFill="1" applyBorder="1" applyAlignment="1">
      <alignment horizontal="center" vertical="center"/>
    </xf>
    <xf numFmtId="2" fontId="6" fillId="5" borderId="19" xfId="0" applyNumberFormat="1" applyFont="1" applyFill="1" applyBorder="1" applyAlignment="1">
      <alignment horizontal="center" vertical="center"/>
    </xf>
    <xf numFmtId="2" fontId="6" fillId="5" borderId="20" xfId="0" applyNumberFormat="1" applyFont="1" applyFill="1" applyBorder="1" applyAlignment="1">
      <alignment horizontal="center" vertical="center"/>
    </xf>
    <xf numFmtId="2" fontId="6" fillId="5" borderId="34" xfId="0" applyNumberFormat="1" applyFont="1" applyFill="1" applyBorder="1" applyAlignment="1">
      <alignment horizontal="center" vertical="center"/>
    </xf>
    <xf numFmtId="2" fontId="6" fillId="5" borderId="21" xfId="0" applyNumberFormat="1" applyFont="1" applyFill="1" applyBorder="1" applyAlignment="1">
      <alignment horizontal="center" vertical="center"/>
    </xf>
    <xf numFmtId="2" fontId="6" fillId="3" borderId="22" xfId="0" applyNumberFormat="1" applyFont="1" applyFill="1" applyBorder="1" applyAlignment="1">
      <alignment horizontal="center" vertical="center"/>
    </xf>
    <xf numFmtId="165" fontId="6" fillId="3" borderId="12" xfId="2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7" fillId="0" borderId="26" xfId="0" applyFont="1" applyFill="1" applyBorder="1" applyAlignment="1">
      <alignment horizontal="center" vertical="center"/>
    </xf>
    <xf numFmtId="1" fontId="7" fillId="0" borderId="38" xfId="0" applyNumberFormat="1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vertical="center"/>
    </xf>
    <xf numFmtId="2" fontId="6" fillId="3" borderId="12" xfId="0" applyNumberFormat="1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2" fontId="7" fillId="0" borderId="25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2" fontId="6" fillId="5" borderId="18" xfId="0" applyNumberFormat="1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1" fontId="6" fillId="0" borderId="26" xfId="0" applyNumberFormat="1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5" borderId="17" xfId="0" applyNumberFormat="1" applyFont="1" applyFill="1" applyBorder="1" applyAlignment="1">
      <alignment horizontal="center" vertical="center"/>
    </xf>
    <xf numFmtId="2" fontId="7" fillId="0" borderId="26" xfId="0" applyNumberFormat="1" applyFont="1" applyFill="1" applyBorder="1" applyAlignment="1">
      <alignment horizontal="center" vertical="center"/>
    </xf>
    <xf numFmtId="165" fontId="6" fillId="0" borderId="7" xfId="2" applyNumberFormat="1" applyFont="1" applyFill="1" applyBorder="1" applyAlignment="1">
      <alignment horizontal="center" vertical="center"/>
    </xf>
    <xf numFmtId="165" fontId="6" fillId="3" borderId="5" xfId="2" applyNumberFormat="1" applyFont="1" applyFill="1" applyBorder="1" applyAlignment="1">
      <alignment horizontal="center" vertical="center"/>
    </xf>
    <xf numFmtId="165" fontId="6" fillId="5" borderId="1" xfId="2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/>
    </xf>
    <xf numFmtId="165" fontId="9" fillId="3" borderId="1" xfId="2" applyNumberFormat="1" applyFont="1" applyFill="1" applyBorder="1" applyAlignment="1">
      <alignment horizontal="center" vertical="center"/>
    </xf>
    <xf numFmtId="165" fontId="9" fillId="4" borderId="1" xfId="2" applyNumberFormat="1" applyFont="1" applyFill="1" applyBorder="1" applyAlignment="1">
      <alignment horizontal="center" vertical="center"/>
    </xf>
    <xf numFmtId="165" fontId="6" fillId="5" borderId="17" xfId="2" applyNumberFormat="1" applyFont="1" applyFill="1" applyBorder="1" applyAlignment="1">
      <alignment horizontal="center" vertical="center"/>
    </xf>
    <xf numFmtId="166" fontId="6" fillId="3" borderId="12" xfId="2" applyNumberFormat="1" applyFont="1" applyFill="1" applyBorder="1" applyAlignment="1">
      <alignment horizontal="center" vertical="center"/>
    </xf>
    <xf numFmtId="166" fontId="6" fillId="0" borderId="7" xfId="2" applyNumberFormat="1" applyFont="1" applyFill="1" applyBorder="1" applyAlignment="1">
      <alignment horizontal="center" vertical="center"/>
    </xf>
    <xf numFmtId="166" fontId="6" fillId="5" borderId="19" xfId="2" applyNumberFormat="1" applyFont="1" applyFill="1" applyBorder="1" applyAlignment="1">
      <alignment horizontal="center" vertical="center"/>
    </xf>
    <xf numFmtId="166" fontId="6" fillId="5" borderId="18" xfId="2" applyNumberFormat="1" applyFont="1" applyFill="1" applyBorder="1" applyAlignment="1">
      <alignment horizontal="center" vertical="center"/>
    </xf>
    <xf numFmtId="166" fontId="6" fillId="3" borderId="12" xfId="0" applyNumberFormat="1" applyFont="1" applyFill="1" applyBorder="1" applyAlignment="1">
      <alignment horizontal="center" vertical="center"/>
    </xf>
    <xf numFmtId="166" fontId="6" fillId="0" borderId="7" xfId="0" applyNumberFormat="1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166" fontId="6" fillId="5" borderId="19" xfId="0" applyNumberFormat="1" applyFont="1" applyFill="1" applyBorder="1" applyAlignment="1">
      <alignment horizontal="center" vertical="center"/>
    </xf>
    <xf numFmtId="166" fontId="6" fillId="5" borderId="18" xfId="0" applyNumberFormat="1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vertical="center"/>
    </xf>
    <xf numFmtId="0" fontId="7" fillId="4" borderId="26" xfId="0" applyFont="1" applyFill="1" applyBorder="1" applyAlignment="1">
      <alignment vertical="center"/>
    </xf>
    <xf numFmtId="0" fontId="7" fillId="4" borderId="22" xfId="0" applyFont="1" applyFill="1" applyBorder="1" applyAlignment="1">
      <alignment horizontal="center" vertical="center" wrapText="1"/>
    </xf>
    <xf numFmtId="1" fontId="7" fillId="4" borderId="26" xfId="0" applyNumberFormat="1" applyFont="1" applyFill="1" applyBorder="1" applyAlignment="1">
      <alignment horizontal="center" vertical="center"/>
    </xf>
    <xf numFmtId="2" fontId="6" fillId="4" borderId="26" xfId="0" applyNumberFormat="1" applyFont="1" applyFill="1" applyBorder="1" applyAlignment="1">
      <alignment horizontal="center" vertical="center"/>
    </xf>
    <xf numFmtId="1" fontId="6" fillId="4" borderId="26" xfId="0" applyNumberFormat="1" applyFont="1" applyFill="1" applyBorder="1" applyAlignment="1">
      <alignment horizontal="center" vertical="center"/>
    </xf>
    <xf numFmtId="1" fontId="7" fillId="4" borderId="39" xfId="0" applyNumberFormat="1" applyFont="1" applyFill="1" applyBorder="1" applyAlignment="1">
      <alignment vertical="center"/>
    </xf>
    <xf numFmtId="1" fontId="7" fillId="4" borderId="26" xfId="0" applyNumberFormat="1" applyFont="1" applyFill="1" applyBorder="1" applyAlignment="1">
      <alignment vertical="center"/>
    </xf>
    <xf numFmtId="1" fontId="7" fillId="4" borderId="38" xfId="0" applyNumberFormat="1" applyFont="1" applyFill="1" applyBorder="1" applyAlignment="1">
      <alignment vertical="center"/>
    </xf>
    <xf numFmtId="165" fontId="7" fillId="4" borderId="26" xfId="2" applyNumberFormat="1" applyFont="1" applyFill="1" applyBorder="1" applyAlignment="1">
      <alignment horizontal="center" vertical="center"/>
    </xf>
    <xf numFmtId="165" fontId="7" fillId="4" borderId="39" xfId="2" applyNumberFormat="1" applyFont="1" applyFill="1" applyBorder="1" applyAlignment="1">
      <alignment horizontal="center" vertical="center"/>
    </xf>
    <xf numFmtId="165" fontId="0" fillId="4" borderId="26" xfId="0" applyNumberFormat="1" applyFill="1" applyBorder="1" applyAlignment="1">
      <alignment horizontal="center" vertical="center"/>
    </xf>
    <xf numFmtId="2" fontId="7" fillId="4" borderId="26" xfId="0" applyNumberFormat="1" applyFont="1" applyFill="1" applyBorder="1" applyAlignment="1">
      <alignment horizontal="center" vertical="center"/>
    </xf>
    <xf numFmtId="2" fontId="7" fillId="4" borderId="38" xfId="0" applyNumberFormat="1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center" vertical="center"/>
    </xf>
    <xf numFmtId="1" fontId="7" fillId="5" borderId="26" xfId="0" applyNumberFormat="1" applyFont="1" applyFill="1" applyBorder="1" applyAlignment="1">
      <alignment horizontal="center" vertical="center"/>
    </xf>
    <xf numFmtId="2" fontId="6" fillId="5" borderId="22" xfId="0" applyNumberFormat="1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1" fontId="6" fillId="5" borderId="26" xfId="0" applyNumberFormat="1" applyFont="1" applyFill="1" applyBorder="1" applyAlignment="1">
      <alignment horizontal="center" vertical="center"/>
    </xf>
    <xf numFmtId="165" fontId="7" fillId="5" borderId="26" xfId="2" applyNumberFormat="1" applyFont="1" applyFill="1" applyBorder="1" applyAlignment="1">
      <alignment horizontal="center" vertical="center"/>
    </xf>
    <xf numFmtId="2" fontId="7" fillId="5" borderId="26" xfId="0" applyNumberFormat="1" applyFont="1" applyFill="1" applyBorder="1" applyAlignment="1">
      <alignment horizontal="center" vertical="center"/>
    </xf>
    <xf numFmtId="165" fontId="6" fillId="5" borderId="28" xfId="2" applyNumberFormat="1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166" fontId="6" fillId="3" borderId="27" xfId="0" applyNumberFormat="1" applyFont="1" applyFill="1" applyBorder="1" applyAlignment="1">
      <alignment horizontal="center" vertical="center"/>
    </xf>
    <xf numFmtId="2" fontId="6" fillId="5" borderId="27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10" fontId="0" fillId="5" borderId="0" xfId="0" applyNumberFormat="1" applyFill="1" applyAlignment="1">
      <alignment horizontal="center" vertical="center"/>
    </xf>
    <xf numFmtId="165" fontId="0" fillId="5" borderId="22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165" fontId="0" fillId="3" borderId="22" xfId="0" applyNumberFormat="1" applyFill="1" applyBorder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166" fontId="6" fillId="4" borderId="44" xfId="0" applyNumberFormat="1" applyFont="1" applyFill="1" applyBorder="1" applyAlignment="1">
      <alignment horizontal="center" vertical="center"/>
    </xf>
    <xf numFmtId="166" fontId="6" fillId="4" borderId="45" xfId="0" applyNumberFormat="1" applyFont="1" applyFill="1" applyBorder="1" applyAlignment="1">
      <alignment horizontal="center" vertical="center"/>
    </xf>
    <xf numFmtId="1" fontId="6" fillId="4" borderId="44" xfId="0" applyNumberFormat="1" applyFont="1" applyFill="1" applyBorder="1" applyAlignment="1">
      <alignment horizontal="center" vertical="center"/>
    </xf>
    <xf numFmtId="1" fontId="6" fillId="4" borderId="45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3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2" fontId="6" fillId="3" borderId="31" xfId="0" applyNumberFormat="1" applyFont="1" applyFill="1" applyBorder="1" applyAlignment="1">
      <alignment horizontal="center" vertical="center"/>
    </xf>
    <xf numFmtId="2" fontId="6" fillId="3" borderId="47" xfId="0" applyNumberFormat="1" applyFont="1" applyFill="1" applyBorder="1" applyAlignment="1">
      <alignment horizontal="center" vertical="center"/>
    </xf>
    <xf numFmtId="1" fontId="6" fillId="3" borderId="23" xfId="0" applyNumberFormat="1" applyFont="1" applyFill="1" applyBorder="1" applyAlignment="1">
      <alignment horizontal="center" vertical="center"/>
    </xf>
    <xf numFmtId="1" fontId="6" fillId="3" borderId="46" xfId="0" applyNumberFormat="1" applyFont="1" applyFill="1" applyBorder="1" applyAlignment="1">
      <alignment horizontal="center" vertical="center"/>
    </xf>
    <xf numFmtId="1" fontId="6" fillId="3" borderId="31" xfId="0" applyNumberFormat="1" applyFont="1" applyFill="1" applyBorder="1" applyAlignment="1">
      <alignment horizontal="center" vertical="center"/>
    </xf>
    <xf numFmtId="1" fontId="6" fillId="3" borderId="47" xfId="0" applyNumberFormat="1" applyFont="1" applyFill="1" applyBorder="1" applyAlignment="1">
      <alignment horizontal="center" vertical="center"/>
    </xf>
    <xf numFmtId="165" fontId="6" fillId="3" borderId="23" xfId="2" applyNumberFormat="1" applyFont="1" applyFill="1" applyBorder="1" applyAlignment="1">
      <alignment horizontal="center" vertical="center"/>
    </xf>
    <xf numFmtId="165" fontId="6" fillId="3" borderId="46" xfId="2" applyNumberFormat="1" applyFont="1" applyFill="1" applyBorder="1" applyAlignment="1">
      <alignment horizontal="center" vertical="center"/>
    </xf>
    <xf numFmtId="165" fontId="6" fillId="3" borderId="31" xfId="2" applyNumberFormat="1" applyFont="1" applyFill="1" applyBorder="1" applyAlignment="1">
      <alignment horizontal="center" vertical="center"/>
    </xf>
    <xf numFmtId="165" fontId="6" fillId="3" borderId="47" xfId="2" applyNumberFormat="1" applyFont="1" applyFill="1" applyBorder="1" applyAlignment="1">
      <alignment horizontal="center" vertical="center"/>
    </xf>
    <xf numFmtId="166" fontId="6" fillId="3" borderId="46" xfId="2" applyNumberFormat="1" applyFont="1" applyFill="1" applyBorder="1" applyAlignment="1">
      <alignment horizontal="center" vertical="center"/>
    </xf>
    <xf numFmtId="166" fontId="6" fillId="3" borderId="31" xfId="2" applyNumberFormat="1" applyFont="1" applyFill="1" applyBorder="1" applyAlignment="1">
      <alignment horizontal="center" vertical="center"/>
    </xf>
    <xf numFmtId="166" fontId="6" fillId="3" borderId="47" xfId="2" applyNumberFormat="1" applyFont="1" applyFill="1" applyBorder="1" applyAlignment="1">
      <alignment horizontal="center" vertical="center"/>
    </xf>
    <xf numFmtId="166" fontId="6" fillId="3" borderId="46" xfId="0" applyNumberFormat="1" applyFont="1" applyFill="1" applyBorder="1" applyAlignment="1">
      <alignment horizontal="center" vertical="center"/>
    </xf>
    <xf numFmtId="166" fontId="6" fillId="3" borderId="31" xfId="0" applyNumberFormat="1" applyFont="1" applyFill="1" applyBorder="1" applyAlignment="1">
      <alignment horizontal="center" vertical="center"/>
    </xf>
    <xf numFmtId="166" fontId="6" fillId="3" borderId="47" xfId="0" applyNumberFormat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1" fontId="7" fillId="3" borderId="22" xfId="0" applyNumberFormat="1" applyFont="1" applyFill="1" applyBorder="1" applyAlignment="1">
      <alignment horizontal="center" vertical="center"/>
    </xf>
    <xf numFmtId="1" fontId="6" fillId="3" borderId="22" xfId="0" applyNumberFormat="1" applyFont="1" applyFill="1" applyBorder="1" applyAlignment="1">
      <alignment horizontal="center" vertical="center"/>
    </xf>
    <xf numFmtId="1" fontId="7" fillId="3" borderId="8" xfId="0" applyNumberFormat="1" applyFont="1" applyFill="1" applyBorder="1" applyAlignment="1">
      <alignment vertical="center"/>
    </xf>
    <xf numFmtId="1" fontId="7" fillId="3" borderId="22" xfId="0" applyNumberFormat="1" applyFont="1" applyFill="1" applyBorder="1" applyAlignment="1">
      <alignment vertical="center"/>
    </xf>
    <xf numFmtId="1" fontId="7" fillId="3" borderId="24" xfId="0" applyNumberFormat="1" applyFont="1" applyFill="1" applyBorder="1" applyAlignment="1">
      <alignment vertical="center"/>
    </xf>
    <xf numFmtId="165" fontId="6" fillId="3" borderId="49" xfId="2" applyNumberFormat="1" applyFont="1" applyFill="1" applyBorder="1" applyAlignment="1">
      <alignment horizontal="center" vertical="center"/>
    </xf>
    <xf numFmtId="165" fontId="6" fillId="3" borderId="50" xfId="2" applyNumberFormat="1" applyFont="1" applyFill="1" applyBorder="1" applyAlignment="1">
      <alignment horizontal="center" vertical="center"/>
    </xf>
    <xf numFmtId="165" fontId="6" fillId="3" borderId="4" xfId="2" applyNumberFormat="1" applyFont="1" applyFill="1" applyBorder="1" applyAlignment="1">
      <alignment horizontal="center" vertical="center"/>
    </xf>
    <xf numFmtId="165" fontId="6" fillId="3" borderId="51" xfId="2" applyNumberFormat="1" applyFont="1" applyFill="1" applyBorder="1" applyAlignment="1">
      <alignment horizontal="center" vertical="center"/>
    </xf>
    <xf numFmtId="165" fontId="6" fillId="3" borderId="52" xfId="2" applyNumberFormat="1" applyFont="1" applyFill="1" applyBorder="1" applyAlignment="1">
      <alignment horizontal="center" vertical="center"/>
    </xf>
    <xf numFmtId="165" fontId="6" fillId="3" borderId="53" xfId="2" applyNumberFormat="1" applyFont="1" applyFill="1" applyBorder="1" applyAlignment="1">
      <alignment horizontal="center" vertical="center"/>
    </xf>
    <xf numFmtId="165" fontId="6" fillId="5" borderId="52" xfId="2" applyNumberFormat="1" applyFont="1" applyFill="1" applyBorder="1" applyAlignment="1">
      <alignment horizontal="center" vertical="center"/>
    </xf>
    <xf numFmtId="165" fontId="6" fillId="5" borderId="53" xfId="2" applyNumberFormat="1" applyFont="1" applyFill="1" applyBorder="1" applyAlignment="1">
      <alignment horizontal="center" vertical="center"/>
    </xf>
    <xf numFmtId="165" fontId="6" fillId="4" borderId="52" xfId="2" applyNumberFormat="1" applyFont="1" applyFill="1" applyBorder="1" applyAlignment="1">
      <alignment horizontal="center" vertical="center"/>
    </xf>
    <xf numFmtId="165" fontId="6" fillId="4" borderId="53" xfId="2" applyNumberFormat="1" applyFont="1" applyFill="1" applyBorder="1" applyAlignment="1">
      <alignment horizontal="center" vertical="center"/>
    </xf>
    <xf numFmtId="165" fontId="6" fillId="5" borderId="4" xfId="2" applyNumberFormat="1" applyFont="1" applyFill="1" applyBorder="1" applyAlignment="1">
      <alignment horizontal="center" vertical="center"/>
    </xf>
    <xf numFmtId="165" fontId="6" fillId="0" borderId="15" xfId="2" applyNumberFormat="1" applyFont="1" applyFill="1" applyBorder="1" applyAlignment="1">
      <alignment horizontal="center" vertical="center"/>
    </xf>
  </cellXfs>
  <cellStyles count="3">
    <cellStyle name="Good" xfId="1" builtinId="2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56"/>
  <sheetViews>
    <sheetView tabSelected="1" zoomScaleNormal="100" zoomScaleSheetLayoutView="25" zoomScalePageLayoutView="25" workbookViewId="0">
      <pane xSplit="2" ySplit="2" topLeftCell="C3" activePane="bottomRight" state="frozenSplit"/>
      <selection pane="topRight" activeCell="C1" sqref="C1"/>
      <selection pane="bottomLeft" activeCell="A3" sqref="A3"/>
      <selection pane="bottomRight" activeCell="BT21" sqref="BT21"/>
    </sheetView>
  </sheetViews>
  <sheetFormatPr defaultRowHeight="15" x14ac:dyDescent="0.25"/>
  <cols>
    <col min="1" max="1" width="6.28515625" style="1" customWidth="1"/>
    <col min="2" max="2" width="46.7109375" style="18" customWidth="1"/>
    <col min="3" max="4" width="9.140625" style="1"/>
    <col min="5" max="7" width="9.140625" style="163"/>
    <col min="8" max="10" width="9.140625" style="1"/>
    <col min="11" max="12" width="9.140625" style="163"/>
    <col min="13" max="15" width="9.140625" style="1"/>
    <col min="16" max="17" width="9.140625" style="163"/>
    <col min="18" max="18" width="7.85546875" style="1" customWidth="1"/>
    <col min="19" max="19" width="8.28515625" style="1" customWidth="1"/>
    <col min="20" max="20" width="7.7109375" style="1" customWidth="1"/>
    <col min="21" max="21" width="7.42578125" style="1" customWidth="1"/>
    <col min="22" max="22" width="7.28515625" style="1" customWidth="1"/>
    <col min="23" max="23" width="8.140625" style="163" customWidth="1"/>
    <col min="24" max="24" width="7.85546875" style="163" customWidth="1"/>
    <col min="25" max="28" width="12.28515625" style="1" customWidth="1"/>
    <col min="29" max="29" width="12.42578125" style="163" customWidth="1"/>
    <col min="30" max="31" width="12.28515625" style="165" customWidth="1"/>
    <col min="32" max="36" width="10.85546875" style="1" customWidth="1"/>
    <col min="37" max="38" width="10.85546875" style="163" customWidth="1"/>
    <col min="39" max="43" width="10.85546875" style="1" customWidth="1"/>
    <col min="44" max="45" width="10.85546875" style="163" customWidth="1"/>
    <col min="46" max="46" width="11.28515625" style="1" customWidth="1"/>
    <col min="47" max="47" width="12.140625" style="1" customWidth="1"/>
    <col min="48" max="48" width="11.85546875" style="1" customWidth="1"/>
    <col min="49" max="49" width="11.140625" style="1" customWidth="1"/>
    <col min="50" max="50" width="11.28515625" style="1" customWidth="1"/>
    <col min="51" max="52" width="11.28515625" style="163" customWidth="1"/>
    <col min="53" max="53" width="11.28515625" style="1" customWidth="1"/>
    <col min="54" max="55" width="11.140625" style="1" customWidth="1"/>
    <col min="56" max="56" width="10.85546875" style="1" customWidth="1"/>
    <col min="57" max="57" width="11.5703125" style="1" customWidth="1"/>
    <col min="58" max="59" width="11.42578125" style="163" customWidth="1"/>
    <col min="60" max="61" width="11.140625" style="1" customWidth="1"/>
    <col min="62" max="62" width="11.42578125" style="1" customWidth="1"/>
    <col min="63" max="63" width="11" style="1" customWidth="1"/>
    <col min="64" max="64" width="11.28515625" style="1" customWidth="1"/>
    <col min="65" max="66" width="10.85546875" style="163" customWidth="1"/>
    <col min="67" max="69" width="10.140625" style="1" bestFit="1" customWidth="1"/>
    <col min="70" max="71" width="10.140625" style="163" customWidth="1"/>
    <col min="72" max="73" width="20.140625" style="1" customWidth="1"/>
    <col min="74" max="16384" width="9.140625" style="1"/>
  </cols>
  <sheetData>
    <row r="1" spans="1:73" s="7" customFormat="1" ht="61.5" customHeight="1" thickBot="1" x14ac:dyDescent="0.3">
      <c r="A1" s="351"/>
      <c r="B1" s="351"/>
      <c r="C1" s="348" t="s">
        <v>73</v>
      </c>
      <c r="D1" s="349"/>
      <c r="E1" s="349"/>
      <c r="F1" s="349"/>
      <c r="G1" s="356"/>
      <c r="H1" s="348" t="s">
        <v>372</v>
      </c>
      <c r="I1" s="349"/>
      <c r="J1" s="349"/>
      <c r="K1" s="349"/>
      <c r="L1" s="350"/>
      <c r="M1" s="348" t="s">
        <v>75</v>
      </c>
      <c r="N1" s="349"/>
      <c r="O1" s="349"/>
      <c r="P1" s="349"/>
      <c r="Q1" s="350"/>
      <c r="R1" s="348" t="s">
        <v>76</v>
      </c>
      <c r="S1" s="349"/>
      <c r="T1" s="349"/>
      <c r="U1" s="349"/>
      <c r="V1" s="349"/>
      <c r="W1" s="349"/>
      <c r="X1" s="350"/>
      <c r="Y1" s="348" t="s">
        <v>72</v>
      </c>
      <c r="Z1" s="349"/>
      <c r="AA1" s="349"/>
      <c r="AB1" s="349"/>
      <c r="AC1" s="349"/>
      <c r="AD1" s="349"/>
      <c r="AE1" s="350"/>
      <c r="AF1" s="348" t="s">
        <v>300</v>
      </c>
      <c r="AG1" s="349"/>
      <c r="AH1" s="349"/>
      <c r="AI1" s="349"/>
      <c r="AJ1" s="349"/>
      <c r="AK1" s="349"/>
      <c r="AL1" s="350"/>
      <c r="AM1" s="348" t="s">
        <v>71</v>
      </c>
      <c r="AN1" s="349"/>
      <c r="AO1" s="349"/>
      <c r="AP1" s="349"/>
      <c r="AQ1" s="349"/>
      <c r="AR1" s="349"/>
      <c r="AS1" s="350"/>
      <c r="AT1" s="348" t="s">
        <v>299</v>
      </c>
      <c r="AU1" s="349"/>
      <c r="AV1" s="349"/>
      <c r="AW1" s="349"/>
      <c r="AX1" s="349"/>
      <c r="AY1" s="349"/>
      <c r="AZ1" s="350"/>
      <c r="BA1" s="348" t="s">
        <v>301</v>
      </c>
      <c r="BB1" s="349"/>
      <c r="BC1" s="349"/>
      <c r="BD1" s="349"/>
      <c r="BE1" s="349"/>
      <c r="BF1" s="349"/>
      <c r="BG1" s="350"/>
      <c r="BH1" s="348" t="s">
        <v>302</v>
      </c>
      <c r="BI1" s="349"/>
      <c r="BJ1" s="349"/>
      <c r="BK1" s="349"/>
      <c r="BL1" s="349"/>
      <c r="BM1" s="349"/>
      <c r="BN1" s="350"/>
      <c r="BO1" s="348" t="s">
        <v>237</v>
      </c>
      <c r="BP1" s="349"/>
      <c r="BQ1" s="349"/>
      <c r="BR1" s="349"/>
      <c r="BS1" s="350"/>
      <c r="BT1" s="351" t="s">
        <v>373</v>
      </c>
      <c r="BU1" s="351" t="s">
        <v>374</v>
      </c>
    </row>
    <row r="2" spans="1:73" s="167" customFormat="1" ht="41.25" customHeight="1" thickBot="1" x14ac:dyDescent="0.3">
      <c r="A2" s="143" t="s">
        <v>65</v>
      </c>
      <c r="B2" s="168" t="s">
        <v>0</v>
      </c>
      <c r="C2" s="143" t="s">
        <v>66</v>
      </c>
      <c r="D2" s="143" t="s">
        <v>67</v>
      </c>
      <c r="E2" s="143" t="s">
        <v>68</v>
      </c>
      <c r="F2" s="142" t="s">
        <v>319</v>
      </c>
      <c r="G2" s="143" t="s">
        <v>371</v>
      </c>
      <c r="H2" s="248" t="s">
        <v>66</v>
      </c>
      <c r="I2" s="247" t="s">
        <v>67</v>
      </c>
      <c r="J2" s="247" t="s">
        <v>68</v>
      </c>
      <c r="K2" s="247" t="s">
        <v>319</v>
      </c>
      <c r="L2" s="247" t="s">
        <v>371</v>
      </c>
      <c r="M2" s="247" t="s">
        <v>66</v>
      </c>
      <c r="N2" s="247" t="s">
        <v>67</v>
      </c>
      <c r="O2" s="247" t="s">
        <v>68</v>
      </c>
      <c r="P2" s="247" t="s">
        <v>319</v>
      </c>
      <c r="Q2" s="143" t="s">
        <v>371</v>
      </c>
      <c r="R2" s="247" t="s">
        <v>69</v>
      </c>
      <c r="S2" s="247" t="s">
        <v>70</v>
      </c>
      <c r="T2" s="247" t="s">
        <v>66</v>
      </c>
      <c r="U2" s="247" t="s">
        <v>67</v>
      </c>
      <c r="V2" s="247" t="s">
        <v>68</v>
      </c>
      <c r="W2" s="247" t="s">
        <v>319</v>
      </c>
      <c r="X2" s="143" t="s">
        <v>371</v>
      </c>
      <c r="Y2" s="247" t="s">
        <v>69</v>
      </c>
      <c r="Z2" s="247" t="s">
        <v>70</v>
      </c>
      <c r="AA2" s="247" t="s">
        <v>66</v>
      </c>
      <c r="AB2" s="261" t="s">
        <v>67</v>
      </c>
      <c r="AC2" s="247" t="s">
        <v>68</v>
      </c>
      <c r="AD2" s="260" t="s">
        <v>319</v>
      </c>
      <c r="AE2" s="105" t="s">
        <v>371</v>
      </c>
      <c r="AF2" s="266" t="s">
        <v>220</v>
      </c>
      <c r="AG2" s="266" t="s">
        <v>221</v>
      </c>
      <c r="AH2" s="266" t="s">
        <v>222</v>
      </c>
      <c r="AI2" s="266" t="s">
        <v>223</v>
      </c>
      <c r="AJ2" s="266" t="s">
        <v>224</v>
      </c>
      <c r="AK2" s="266" t="s">
        <v>433</v>
      </c>
      <c r="AL2" s="266" t="s">
        <v>434</v>
      </c>
      <c r="AM2" s="266" t="s">
        <v>220</v>
      </c>
      <c r="AN2" s="266" t="s">
        <v>221</v>
      </c>
      <c r="AO2" s="266" t="s">
        <v>222</v>
      </c>
      <c r="AP2" s="266" t="s">
        <v>223</v>
      </c>
      <c r="AQ2" s="266" t="s">
        <v>224</v>
      </c>
      <c r="AR2" s="266" t="s">
        <v>433</v>
      </c>
      <c r="AS2" s="266" t="s">
        <v>434</v>
      </c>
      <c r="AT2" s="266" t="s">
        <v>220</v>
      </c>
      <c r="AU2" s="266" t="s">
        <v>221</v>
      </c>
      <c r="AV2" s="266" t="s">
        <v>222</v>
      </c>
      <c r="AW2" s="266" t="s">
        <v>223</v>
      </c>
      <c r="AX2" s="266" t="s">
        <v>225</v>
      </c>
      <c r="AY2" s="266" t="s">
        <v>433</v>
      </c>
      <c r="AZ2" s="266" t="s">
        <v>434</v>
      </c>
      <c r="BA2" s="266" t="s">
        <v>220</v>
      </c>
      <c r="BB2" s="266" t="s">
        <v>221</v>
      </c>
      <c r="BC2" s="266" t="s">
        <v>222</v>
      </c>
      <c r="BD2" s="266" t="s">
        <v>223</v>
      </c>
      <c r="BE2" s="266" t="s">
        <v>225</v>
      </c>
      <c r="BF2" s="266" t="s">
        <v>433</v>
      </c>
      <c r="BG2" s="266" t="s">
        <v>434</v>
      </c>
      <c r="BH2" s="266" t="s">
        <v>220</v>
      </c>
      <c r="BI2" s="266" t="s">
        <v>221</v>
      </c>
      <c r="BJ2" s="266" t="s">
        <v>222</v>
      </c>
      <c r="BK2" s="266" t="s">
        <v>223</v>
      </c>
      <c r="BL2" s="266" t="s">
        <v>225</v>
      </c>
      <c r="BM2" s="266" t="s">
        <v>433</v>
      </c>
      <c r="BN2" s="266" t="s">
        <v>434</v>
      </c>
      <c r="BO2" s="247" t="s">
        <v>227</v>
      </c>
      <c r="BP2" s="247" t="s">
        <v>228</v>
      </c>
      <c r="BQ2" s="247" t="s">
        <v>229</v>
      </c>
      <c r="BR2" s="247" t="s">
        <v>319</v>
      </c>
      <c r="BS2" s="143" t="s">
        <v>371</v>
      </c>
      <c r="BT2" s="351"/>
      <c r="BU2" s="351"/>
    </row>
    <row r="3" spans="1:73" s="9" customFormat="1" x14ac:dyDescent="0.25">
      <c r="A3" s="8">
        <v>1</v>
      </c>
      <c r="B3" s="25" t="s">
        <v>1</v>
      </c>
      <c r="C3" s="245">
        <v>0</v>
      </c>
      <c r="D3" s="26">
        <v>0</v>
      </c>
      <c r="E3" s="26">
        <v>0</v>
      </c>
      <c r="F3" s="209">
        <v>2</v>
      </c>
      <c r="G3" s="27">
        <v>8</v>
      </c>
      <c r="H3" s="245">
        <v>1264</v>
      </c>
      <c r="I3" s="26">
        <v>1264</v>
      </c>
      <c r="J3" s="26">
        <v>1266</v>
      </c>
      <c r="K3" s="209">
        <v>1249</v>
      </c>
      <c r="L3" s="27">
        <v>1091</v>
      </c>
      <c r="M3" s="245">
        <v>71</v>
      </c>
      <c r="N3" s="26">
        <v>159</v>
      </c>
      <c r="O3" s="26">
        <v>182</v>
      </c>
      <c r="P3" s="209">
        <v>215</v>
      </c>
      <c r="Q3" s="27">
        <v>169</v>
      </c>
      <c r="R3" s="245">
        <v>36</v>
      </c>
      <c r="S3" s="26">
        <v>18</v>
      </c>
      <c r="T3" s="26">
        <v>14</v>
      </c>
      <c r="U3" s="26">
        <v>48</v>
      </c>
      <c r="V3" s="26">
        <v>41</v>
      </c>
      <c r="W3" s="209">
        <v>61</v>
      </c>
      <c r="X3" s="27">
        <v>8</v>
      </c>
      <c r="Y3" s="245">
        <f>(18.93+23.54)/2</f>
        <v>21.234999999999999</v>
      </c>
      <c r="Z3" s="26">
        <f>(22.26+39.24)/2</f>
        <v>30.75</v>
      </c>
      <c r="AA3" s="26">
        <f>(22.26+51.43)/2</f>
        <v>36.844999999999999</v>
      </c>
      <c r="AB3" s="209">
        <f>(47.77+32.49)/2</f>
        <v>40.130000000000003</v>
      </c>
      <c r="AC3" s="26">
        <f>(32.49+39.7)/2</f>
        <v>36.094999999999999</v>
      </c>
      <c r="AD3" s="257">
        <v>37.42</v>
      </c>
      <c r="AE3" s="169">
        <v>43.06</v>
      </c>
      <c r="AF3" s="269">
        <v>202616</v>
      </c>
      <c r="AG3" s="28">
        <v>194241</v>
      </c>
      <c r="AH3" s="28">
        <v>244845</v>
      </c>
      <c r="AI3" s="28">
        <v>406834</v>
      </c>
      <c r="AJ3" s="28">
        <v>337796</v>
      </c>
      <c r="AK3" s="264">
        <v>373817</v>
      </c>
      <c r="AL3" s="29">
        <v>396441</v>
      </c>
      <c r="AM3" s="269">
        <v>11367</v>
      </c>
      <c r="AN3" s="28">
        <v>10084</v>
      </c>
      <c r="AO3" s="28">
        <v>15720</v>
      </c>
      <c r="AP3" s="28">
        <v>38938</v>
      </c>
      <c r="AQ3" s="28">
        <v>53493</v>
      </c>
      <c r="AR3" s="264">
        <v>68986</v>
      </c>
      <c r="AS3" s="29">
        <v>75755</v>
      </c>
      <c r="AT3" s="275">
        <f t="shared" ref="AT3:AZ3" si="0">AM3/AF3</f>
        <v>5.6101196351719507E-2</v>
      </c>
      <c r="AU3" s="30">
        <f t="shared" si="0"/>
        <v>5.1914889235537297E-2</v>
      </c>
      <c r="AV3" s="30">
        <f t="shared" si="0"/>
        <v>6.4203884089934452E-2</v>
      </c>
      <c r="AW3" s="30">
        <f t="shared" si="0"/>
        <v>9.5709798099470542E-2</v>
      </c>
      <c r="AX3" s="30">
        <f t="shared" si="0"/>
        <v>0.15835889116508189</v>
      </c>
      <c r="AY3" s="233">
        <f t="shared" si="0"/>
        <v>0.18454484413496444</v>
      </c>
      <c r="AZ3" s="233">
        <f t="shared" si="0"/>
        <v>0.19108770283598317</v>
      </c>
      <c r="BA3" s="275" t="s">
        <v>226</v>
      </c>
      <c r="BB3" s="31">
        <f t="shared" ref="BB3:BG6" si="1">(AU3-$AT3)*100</f>
        <v>-0.41863071161822096</v>
      </c>
      <c r="BC3" s="31">
        <f t="shared" si="1"/>
        <v>0.81026877382149443</v>
      </c>
      <c r="BD3" s="31">
        <f t="shared" si="1"/>
        <v>3.9608601747751035</v>
      </c>
      <c r="BE3" s="31">
        <f t="shared" si="1"/>
        <v>10.225769481336238</v>
      </c>
      <c r="BF3" s="281">
        <f t="shared" si="1"/>
        <v>12.844364778324493</v>
      </c>
      <c r="BG3" s="281">
        <f t="shared" si="1"/>
        <v>13.498650648426366</v>
      </c>
      <c r="BH3" s="245" t="s">
        <v>226</v>
      </c>
      <c r="BI3" s="32">
        <f t="shared" ref="BI3:BN3" si="2">(AU3-AT3)*100</f>
        <v>-0.41863071161822096</v>
      </c>
      <c r="BJ3" s="32">
        <f t="shared" si="2"/>
        <v>1.2288994854397155</v>
      </c>
      <c r="BK3" s="32">
        <f t="shared" si="2"/>
        <v>3.1505914009536089</v>
      </c>
      <c r="BL3" s="32">
        <f t="shared" si="2"/>
        <v>6.264909306561135</v>
      </c>
      <c r="BM3" s="285">
        <f t="shared" si="2"/>
        <v>2.6185952969882549</v>
      </c>
      <c r="BN3" s="285">
        <f t="shared" si="2"/>
        <v>0.65428587010187278</v>
      </c>
      <c r="BO3" s="275">
        <f t="shared" ref="BO3:BS4" si="3">T3/M3</f>
        <v>0.19718309859154928</v>
      </c>
      <c r="BP3" s="30">
        <f t="shared" si="3"/>
        <v>0.30188679245283018</v>
      </c>
      <c r="BQ3" s="30">
        <f t="shared" si="3"/>
        <v>0.22527472527472528</v>
      </c>
      <c r="BR3" s="233">
        <f t="shared" si="3"/>
        <v>0.28372093023255812</v>
      </c>
      <c r="BS3" s="233">
        <f t="shared" si="3"/>
        <v>4.7337278106508875E-2</v>
      </c>
      <c r="BT3" s="412">
        <f>(AE3-AD3)/AD3</f>
        <v>0.15072153928380547</v>
      </c>
      <c r="BU3" s="412">
        <f>(Q3-P3)/P3</f>
        <v>-0.21395348837209302</v>
      </c>
    </row>
    <row r="4" spans="1:73" s="11" customFormat="1" x14ac:dyDescent="0.25">
      <c r="A4" s="10">
        <v>2</v>
      </c>
      <c r="B4" s="33" t="s">
        <v>2</v>
      </c>
      <c r="C4" s="34">
        <v>1</v>
      </c>
      <c r="D4" s="35">
        <v>1</v>
      </c>
      <c r="E4" s="35">
        <v>1</v>
      </c>
      <c r="F4" s="93">
        <v>1</v>
      </c>
      <c r="G4" s="36">
        <v>2</v>
      </c>
      <c r="H4" s="34">
        <v>34</v>
      </c>
      <c r="I4" s="35">
        <v>33</v>
      </c>
      <c r="J4" s="35">
        <v>32</v>
      </c>
      <c r="K4" s="93">
        <v>18</v>
      </c>
      <c r="L4" s="36">
        <v>28</v>
      </c>
      <c r="M4" s="34">
        <v>1</v>
      </c>
      <c r="N4" s="35">
        <v>1</v>
      </c>
      <c r="O4" s="35">
        <v>1</v>
      </c>
      <c r="P4" s="93">
        <v>2</v>
      </c>
      <c r="Q4" s="36">
        <v>4</v>
      </c>
      <c r="R4" s="34">
        <v>0</v>
      </c>
      <c r="S4" s="35">
        <v>0</v>
      </c>
      <c r="T4" s="35">
        <v>0</v>
      </c>
      <c r="U4" s="35">
        <v>0</v>
      </c>
      <c r="V4" s="35">
        <v>0</v>
      </c>
      <c r="W4" s="93">
        <v>0</v>
      </c>
      <c r="X4" s="36">
        <v>0</v>
      </c>
      <c r="Y4" s="34"/>
      <c r="Z4" s="35" t="s">
        <v>77</v>
      </c>
      <c r="AA4" s="35" t="s">
        <v>79</v>
      </c>
      <c r="AB4" s="93" t="s">
        <v>78</v>
      </c>
      <c r="AC4" s="35" t="s">
        <v>78</v>
      </c>
      <c r="AD4" s="154" t="s">
        <v>78</v>
      </c>
      <c r="AE4" s="90" t="s">
        <v>402</v>
      </c>
      <c r="AF4" s="38"/>
      <c r="AG4" s="39"/>
      <c r="AH4" s="39">
        <v>5681</v>
      </c>
      <c r="AI4" s="39">
        <v>7775</v>
      </c>
      <c r="AJ4" s="39">
        <v>5945</v>
      </c>
      <c r="AK4" s="182">
        <v>5701.36</v>
      </c>
      <c r="AL4" s="40">
        <v>6543</v>
      </c>
      <c r="AM4" s="38"/>
      <c r="AN4" s="39"/>
      <c r="AO4" s="39">
        <v>99.7</v>
      </c>
      <c r="AP4" s="39">
        <v>33.29</v>
      </c>
      <c r="AQ4" s="39">
        <v>257.83</v>
      </c>
      <c r="AR4" s="182">
        <v>126.89</v>
      </c>
      <c r="AS4" s="40">
        <v>45</v>
      </c>
      <c r="AT4" s="41"/>
      <c r="AU4" s="42"/>
      <c r="AV4" s="42">
        <f t="shared" ref="AV4:AX5" si="4">AO4/AH4</f>
        <v>1.7549727160711143E-2</v>
      </c>
      <c r="AW4" s="42">
        <f t="shared" si="4"/>
        <v>4.2816720257234722E-3</v>
      </c>
      <c r="AX4" s="42">
        <f t="shared" si="4"/>
        <v>4.336921783010933E-2</v>
      </c>
      <c r="AY4" s="183">
        <f t="shared" ref="AY4:AY71" si="5">AR4/AK4</f>
        <v>2.2256093283006161E-2</v>
      </c>
      <c r="AZ4" s="43">
        <f t="shared" ref="AZ4:AZ71" si="6">AS4/AL4</f>
        <v>6.8775790921595595E-3</v>
      </c>
      <c r="BA4" s="41" t="s">
        <v>226</v>
      </c>
      <c r="BB4" s="44"/>
      <c r="BC4" s="44"/>
      <c r="BD4" s="44"/>
      <c r="BE4" s="44"/>
      <c r="BF4" s="184"/>
      <c r="BG4" s="45">
        <f t="shared" si="1"/>
        <v>0.68775790921595592</v>
      </c>
      <c r="BH4" s="34" t="s">
        <v>226</v>
      </c>
      <c r="BI4" s="46"/>
      <c r="BJ4" s="46"/>
      <c r="BK4" s="46">
        <f t="shared" ref="BK4:BK84" si="7">(AW4-AV4)*100</f>
        <v>-1.3268055134987671</v>
      </c>
      <c r="BL4" s="46">
        <f>(AX4-AW4)*100</f>
        <v>3.9087545804385857</v>
      </c>
      <c r="BM4" s="185">
        <f>(AY4-AX4)*100</f>
        <v>-2.1113124547103168</v>
      </c>
      <c r="BN4" s="47">
        <f t="shared" ref="BN4:BN71" si="8">(AZ4-AY4)*100</f>
        <v>-1.5378514190846602</v>
      </c>
      <c r="BO4" s="41">
        <f t="shared" si="3"/>
        <v>0</v>
      </c>
      <c r="BP4" s="42">
        <f t="shared" si="3"/>
        <v>0</v>
      </c>
      <c r="BQ4" s="42">
        <f t="shared" si="3"/>
        <v>0</v>
      </c>
      <c r="BR4" s="183">
        <f t="shared" si="3"/>
        <v>0</v>
      </c>
      <c r="BS4" s="183">
        <f t="shared" si="3"/>
        <v>0</v>
      </c>
      <c r="BT4" s="48"/>
      <c r="BU4" s="48">
        <f>(Q4-P4)/P4</f>
        <v>1</v>
      </c>
    </row>
    <row r="5" spans="1:73" s="9" customFormat="1" x14ac:dyDescent="0.25">
      <c r="A5" s="12">
        <v>3</v>
      </c>
      <c r="B5" s="17" t="s">
        <v>3</v>
      </c>
      <c r="C5" s="2">
        <v>1</v>
      </c>
      <c r="D5" s="3">
        <v>1</v>
      </c>
      <c r="E5" s="3">
        <v>1</v>
      </c>
      <c r="F5" s="144">
        <v>1</v>
      </c>
      <c r="G5" s="4"/>
      <c r="H5" s="2">
        <v>3505</v>
      </c>
      <c r="I5" s="3">
        <v>3550</v>
      </c>
      <c r="J5" s="3">
        <v>3539</v>
      </c>
      <c r="K5" s="144">
        <v>3582</v>
      </c>
      <c r="L5" s="4"/>
      <c r="M5" s="2">
        <v>351</v>
      </c>
      <c r="N5" s="3">
        <v>790</v>
      </c>
      <c r="O5" s="3">
        <v>929</v>
      </c>
      <c r="P5" s="144">
        <v>1630</v>
      </c>
      <c r="Q5" s="4"/>
      <c r="R5" s="2">
        <v>140</v>
      </c>
      <c r="S5" s="3">
        <v>84</v>
      </c>
      <c r="T5" s="3">
        <v>97</v>
      </c>
      <c r="U5" s="3">
        <v>173</v>
      </c>
      <c r="V5" s="3">
        <v>139</v>
      </c>
      <c r="W5" s="144">
        <v>182</v>
      </c>
      <c r="X5" s="4"/>
      <c r="Y5" s="2">
        <v>20.83</v>
      </c>
      <c r="Z5" s="49">
        <v>24.69</v>
      </c>
      <c r="AA5" s="3">
        <v>33.409999999999997</v>
      </c>
      <c r="AB5" s="144">
        <v>32.15</v>
      </c>
      <c r="AC5" s="3">
        <v>33.950000000000003</v>
      </c>
      <c r="AD5" s="153">
        <v>36.18</v>
      </c>
      <c r="AE5" s="86"/>
      <c r="AF5" s="19">
        <v>677327</v>
      </c>
      <c r="AG5" s="20">
        <v>705024</v>
      </c>
      <c r="AH5" s="20">
        <v>891514</v>
      </c>
      <c r="AI5" s="20">
        <v>1230035</v>
      </c>
      <c r="AJ5" s="20">
        <v>949497</v>
      </c>
      <c r="AK5" s="210">
        <v>1072870</v>
      </c>
      <c r="AL5" s="21"/>
      <c r="AM5" s="19">
        <v>95416</v>
      </c>
      <c r="AN5" s="20">
        <v>74353</v>
      </c>
      <c r="AO5" s="20">
        <v>92106</v>
      </c>
      <c r="AP5" s="20">
        <v>206468</v>
      </c>
      <c r="AQ5" s="20">
        <v>270177</v>
      </c>
      <c r="AR5" s="210">
        <v>269333</v>
      </c>
      <c r="AS5" s="21"/>
      <c r="AT5" s="50">
        <f>AM5/AF5</f>
        <v>0.14087139594317072</v>
      </c>
      <c r="AU5" s="51">
        <f>AN5/AG5</f>
        <v>0.10546165804284677</v>
      </c>
      <c r="AV5" s="51">
        <f t="shared" si="4"/>
        <v>0.10331413752335913</v>
      </c>
      <c r="AW5" s="51">
        <f t="shared" si="4"/>
        <v>0.16785538622884716</v>
      </c>
      <c r="AX5" s="51">
        <f t="shared" si="4"/>
        <v>0.28454750251975519</v>
      </c>
      <c r="AY5" s="211">
        <f t="shared" si="5"/>
        <v>0.25103973454379375</v>
      </c>
      <c r="AZ5" s="52"/>
      <c r="BA5" s="50" t="s">
        <v>226</v>
      </c>
      <c r="BB5" s="53">
        <f t="shared" ref="BB5:BB84" si="9">(AU5-$AT5)*100</f>
        <v>-3.5409737900323952</v>
      </c>
      <c r="BC5" s="53">
        <f t="shared" ref="BC5:BC84" si="10">(AV5-$AT5)*100</f>
        <v>-3.7557258419811586</v>
      </c>
      <c r="BD5" s="53">
        <f t="shared" ref="BD5:BD84" si="11">(AW5-$AT5)*100</f>
        <v>2.698399028567644</v>
      </c>
      <c r="BE5" s="53">
        <f>(AX5-$AT5)*100</f>
        <v>14.367610657658448</v>
      </c>
      <c r="BF5" s="212">
        <f t="shared" ref="BF5:BG71" si="12">(AY5-$AT5)*100</f>
        <v>11.016833860062302</v>
      </c>
      <c r="BG5" s="54"/>
      <c r="BH5" s="2" t="s">
        <v>226</v>
      </c>
      <c r="BI5" s="55">
        <f t="shared" ref="BI5:BI84" si="13">(AU5-AT5)*100</f>
        <v>-3.5409737900323952</v>
      </c>
      <c r="BJ5" s="55">
        <f t="shared" ref="BJ5:BJ84" si="14">(AV5-AU5)*100</f>
        <v>-0.21475205194876335</v>
      </c>
      <c r="BK5" s="55">
        <f t="shared" si="7"/>
        <v>6.4541248705488021</v>
      </c>
      <c r="BL5" s="55">
        <f>(AX5-AW5)*100</f>
        <v>11.669211629090803</v>
      </c>
      <c r="BM5" s="213">
        <f t="shared" ref="BM5:BN71" si="15">(AY5-AX5)*100</f>
        <v>-3.3507767975961444</v>
      </c>
      <c r="BN5" s="56"/>
      <c r="BO5" s="50">
        <f t="shared" ref="BO5:BR6" si="16">T5/M5</f>
        <v>0.27635327635327633</v>
      </c>
      <c r="BP5" s="51">
        <f t="shared" si="16"/>
        <v>0.2189873417721519</v>
      </c>
      <c r="BQ5" s="51">
        <f t="shared" si="16"/>
        <v>0.1496232508073197</v>
      </c>
      <c r="BR5" s="211">
        <f t="shared" si="16"/>
        <v>0.1116564417177914</v>
      </c>
      <c r="BS5" s="211"/>
      <c r="BT5" s="57"/>
      <c r="BU5" s="57"/>
    </row>
    <row r="6" spans="1:73" s="9" customFormat="1" ht="18.75" customHeight="1" x14ac:dyDescent="0.25">
      <c r="A6" s="12">
        <v>4</v>
      </c>
      <c r="B6" s="17" t="s">
        <v>233</v>
      </c>
      <c r="C6" s="2">
        <v>0</v>
      </c>
      <c r="D6" s="3">
        <v>0</v>
      </c>
      <c r="E6" s="3">
        <v>0</v>
      </c>
      <c r="F6" s="144">
        <v>0</v>
      </c>
      <c r="G6" s="4">
        <v>0</v>
      </c>
      <c r="H6" s="2">
        <v>1284</v>
      </c>
      <c r="I6" s="3">
        <v>1306</v>
      </c>
      <c r="J6" s="3">
        <v>1254</v>
      </c>
      <c r="K6" s="144">
        <v>722</v>
      </c>
      <c r="L6" s="4">
        <v>1283</v>
      </c>
      <c r="M6" s="2">
        <v>109</v>
      </c>
      <c r="N6" s="3">
        <v>158</v>
      </c>
      <c r="O6" s="3">
        <v>216</v>
      </c>
      <c r="P6" s="144">
        <v>348</v>
      </c>
      <c r="Q6" s="4">
        <v>357</v>
      </c>
      <c r="R6" s="2">
        <v>85</v>
      </c>
      <c r="S6" s="3">
        <v>60</v>
      </c>
      <c r="T6" s="3">
        <v>40</v>
      </c>
      <c r="U6" s="3">
        <v>30</v>
      </c>
      <c r="V6" s="3">
        <v>30</v>
      </c>
      <c r="W6" s="144">
        <v>12</v>
      </c>
      <c r="X6" s="4">
        <v>27</v>
      </c>
      <c r="Y6" s="5">
        <v>20</v>
      </c>
      <c r="Z6" s="58">
        <v>26.67</v>
      </c>
      <c r="AA6" s="3">
        <v>30.48</v>
      </c>
      <c r="AB6" s="3">
        <v>41.51</v>
      </c>
      <c r="AC6" s="3">
        <v>41.51</v>
      </c>
      <c r="AD6" s="153">
        <v>37.590000000000003</v>
      </c>
      <c r="AE6" s="153">
        <v>37.590000000000003</v>
      </c>
      <c r="AF6" s="19">
        <v>76886.45</v>
      </c>
      <c r="AG6" s="20">
        <v>71332.97</v>
      </c>
      <c r="AH6" s="20">
        <v>126101.67</v>
      </c>
      <c r="AI6" s="20">
        <v>186068.58</v>
      </c>
      <c r="AJ6" s="20">
        <v>192119.79</v>
      </c>
      <c r="AK6" s="210">
        <v>192337.37</v>
      </c>
      <c r="AL6" s="21">
        <v>177297.42</v>
      </c>
      <c r="AM6" s="19">
        <v>15102.59</v>
      </c>
      <c r="AN6" s="20">
        <v>13310.17</v>
      </c>
      <c r="AO6" s="20">
        <v>22922.06</v>
      </c>
      <c r="AP6" s="20">
        <v>34553.019999999997</v>
      </c>
      <c r="AQ6" s="20">
        <v>44862.21</v>
      </c>
      <c r="AR6" s="210">
        <v>54890.18</v>
      </c>
      <c r="AS6" s="21">
        <v>14442.6</v>
      </c>
      <c r="AT6" s="50">
        <f>AM6/AF6</f>
        <v>0.19642719881071374</v>
      </c>
      <c r="AU6" s="51">
        <f>AN6/AG6</f>
        <v>0.18659211862340794</v>
      </c>
      <c r="AV6" s="51">
        <f t="shared" ref="AV6:AV15" si="17">AO6/AH6</f>
        <v>0.18177443645274485</v>
      </c>
      <c r="AW6" s="51">
        <f>AP6/AI6</f>
        <v>0.18570045517625813</v>
      </c>
      <c r="AX6" s="51">
        <f>AQ6/AJ6</f>
        <v>0.23351165436939109</v>
      </c>
      <c r="AY6" s="211">
        <f t="shared" si="5"/>
        <v>0.28538489426157798</v>
      </c>
      <c r="AZ6" s="52">
        <f t="shared" si="6"/>
        <v>8.145973020927208E-2</v>
      </c>
      <c r="BA6" s="50" t="s">
        <v>226</v>
      </c>
      <c r="BB6" s="53">
        <f t="shared" si="9"/>
        <v>-0.98350801873058058</v>
      </c>
      <c r="BC6" s="53">
        <f t="shared" si="10"/>
        <v>-1.4652762357968889</v>
      </c>
      <c r="BD6" s="53">
        <f t="shared" si="11"/>
        <v>-1.0726743634455609</v>
      </c>
      <c r="BE6" s="53">
        <f>(AX6-$AT6)*100</f>
        <v>3.7084455558677343</v>
      </c>
      <c r="BF6" s="212">
        <f t="shared" si="12"/>
        <v>8.8957695450864236</v>
      </c>
      <c r="BG6" s="54">
        <f t="shared" si="1"/>
        <v>-11.496746860144166</v>
      </c>
      <c r="BH6" s="2" t="s">
        <v>226</v>
      </c>
      <c r="BI6" s="55">
        <f t="shared" si="13"/>
        <v>-0.98350801873058058</v>
      </c>
      <c r="BJ6" s="55">
        <f t="shared" si="14"/>
        <v>-0.48176821706630846</v>
      </c>
      <c r="BK6" s="55">
        <f t="shared" si="7"/>
        <v>0.39260187235132804</v>
      </c>
      <c r="BL6" s="55">
        <f>(AX6-AW6)*100</f>
        <v>4.7811199193132952</v>
      </c>
      <c r="BM6" s="213">
        <f t="shared" si="15"/>
        <v>5.1873239892186893</v>
      </c>
      <c r="BN6" s="56">
        <f t="shared" si="8"/>
        <v>-20.392516405230591</v>
      </c>
      <c r="BO6" s="50">
        <f t="shared" si="16"/>
        <v>0.3669724770642202</v>
      </c>
      <c r="BP6" s="51">
        <f t="shared" si="16"/>
        <v>0.189873417721519</v>
      </c>
      <c r="BQ6" s="51">
        <f t="shared" si="16"/>
        <v>0.1388888888888889</v>
      </c>
      <c r="BR6" s="211">
        <f t="shared" si="16"/>
        <v>3.4482758620689655E-2</v>
      </c>
      <c r="BS6" s="211">
        <f t="shared" ref="BS6:BS12" si="18">X6/Q6</f>
        <v>7.5630252100840331E-2</v>
      </c>
      <c r="BT6" s="57">
        <f t="shared" ref="BT6" si="19">(AE6-AD6)/AD6</f>
        <v>0</v>
      </c>
      <c r="BU6" s="57">
        <f>(Q6-P6)/P6</f>
        <v>2.5862068965517241E-2</v>
      </c>
    </row>
    <row r="7" spans="1:73" s="14" customFormat="1" ht="15" customHeight="1" x14ac:dyDescent="0.25">
      <c r="A7" s="13"/>
      <c r="B7" s="59" t="s">
        <v>116</v>
      </c>
      <c r="C7" s="60">
        <v>0</v>
      </c>
      <c r="D7" s="61">
        <v>0</v>
      </c>
      <c r="E7" s="61">
        <v>0</v>
      </c>
      <c r="F7" s="145">
        <v>0</v>
      </c>
      <c r="G7" s="62">
        <v>0</v>
      </c>
      <c r="H7" s="60">
        <v>0</v>
      </c>
      <c r="I7" s="61">
        <v>70</v>
      </c>
      <c r="J7" s="61">
        <v>70</v>
      </c>
      <c r="K7" s="145">
        <v>69</v>
      </c>
      <c r="L7" s="62">
        <v>69</v>
      </c>
      <c r="M7" s="60">
        <v>0</v>
      </c>
      <c r="N7" s="61">
        <v>0</v>
      </c>
      <c r="O7" s="61">
        <v>16</v>
      </c>
      <c r="P7" s="145">
        <v>14</v>
      </c>
      <c r="Q7" s="62">
        <v>12</v>
      </c>
      <c r="R7" s="60"/>
      <c r="S7" s="61"/>
      <c r="T7" s="61"/>
      <c r="U7" s="61">
        <v>0</v>
      </c>
      <c r="V7" s="61">
        <v>0</v>
      </c>
      <c r="W7" s="145">
        <v>0</v>
      </c>
      <c r="X7" s="62">
        <v>0</v>
      </c>
      <c r="Y7" s="60"/>
      <c r="Z7" s="61"/>
      <c r="AA7" s="63">
        <v>29</v>
      </c>
      <c r="AB7" s="152">
        <v>29</v>
      </c>
      <c r="AC7" s="63">
        <v>29</v>
      </c>
      <c r="AD7" s="152">
        <v>29</v>
      </c>
      <c r="AE7" s="152">
        <v>29</v>
      </c>
      <c r="AF7" s="270"/>
      <c r="AG7" s="65"/>
      <c r="AH7" s="65"/>
      <c r="AI7" s="65"/>
      <c r="AJ7" s="65">
        <v>18977</v>
      </c>
      <c r="AK7" s="196">
        <v>20438</v>
      </c>
      <c r="AL7" s="66">
        <v>18149</v>
      </c>
      <c r="AM7" s="270"/>
      <c r="AN7" s="65"/>
      <c r="AO7" s="65"/>
      <c r="AP7" s="65"/>
      <c r="AQ7" s="65">
        <v>1868</v>
      </c>
      <c r="AR7" s="196">
        <v>2987</v>
      </c>
      <c r="AS7" s="66">
        <v>4410</v>
      </c>
      <c r="AT7" s="276"/>
      <c r="AU7" s="67"/>
      <c r="AV7" s="67"/>
      <c r="AW7" s="67"/>
      <c r="AX7" s="67">
        <f>AQ7/AJ7</f>
        <v>9.8434947568108763E-2</v>
      </c>
      <c r="AY7" s="190">
        <f t="shared" si="5"/>
        <v>0.14614932968000782</v>
      </c>
      <c r="AZ7" s="68">
        <f t="shared" si="6"/>
        <v>0.24298859441291532</v>
      </c>
      <c r="BA7" s="276" t="s">
        <v>226</v>
      </c>
      <c r="BB7" s="69"/>
      <c r="BC7" s="69"/>
      <c r="BD7" s="69"/>
      <c r="BE7" s="69"/>
      <c r="BF7" s="199"/>
      <c r="BG7" s="70"/>
      <c r="BH7" s="60" t="s">
        <v>226</v>
      </c>
      <c r="BI7" s="71"/>
      <c r="BJ7" s="71"/>
      <c r="BK7" s="71"/>
      <c r="BL7" s="71"/>
      <c r="BM7" s="200">
        <f t="shared" si="15"/>
        <v>4.7714382111899063</v>
      </c>
      <c r="BN7" s="72">
        <f t="shared" si="8"/>
        <v>9.6839264732907502</v>
      </c>
      <c r="BO7" s="276"/>
      <c r="BP7" s="67"/>
      <c r="BQ7" s="67">
        <f>V7/O7</f>
        <v>0</v>
      </c>
      <c r="BR7" s="190">
        <f>W7/P7</f>
        <v>0</v>
      </c>
      <c r="BS7" s="190">
        <f t="shared" si="18"/>
        <v>0</v>
      </c>
      <c r="BT7" s="73">
        <f t="shared" ref="BT7:BT9" si="20">(AE7-AD7)/AD7</f>
        <v>0</v>
      </c>
      <c r="BU7" s="73">
        <f>(Q7-P7)/P7</f>
        <v>-0.14285714285714285</v>
      </c>
    </row>
    <row r="8" spans="1:73" s="14" customFormat="1" x14ac:dyDescent="0.25">
      <c r="A8" s="13"/>
      <c r="B8" s="59" t="s">
        <v>322</v>
      </c>
      <c r="C8" s="60"/>
      <c r="D8" s="61"/>
      <c r="E8" s="61"/>
      <c r="F8" s="145">
        <v>4</v>
      </c>
      <c r="G8" s="62">
        <v>4</v>
      </c>
      <c r="H8" s="60"/>
      <c r="I8" s="61"/>
      <c r="J8" s="61"/>
      <c r="K8" s="145">
        <v>45</v>
      </c>
      <c r="L8" s="62">
        <v>44</v>
      </c>
      <c r="M8" s="60"/>
      <c r="N8" s="61"/>
      <c r="O8" s="61"/>
      <c r="P8" s="145">
        <v>17</v>
      </c>
      <c r="Q8" s="62">
        <v>18</v>
      </c>
      <c r="R8" s="60"/>
      <c r="S8" s="61"/>
      <c r="T8" s="61"/>
      <c r="U8" s="61"/>
      <c r="V8" s="61"/>
      <c r="W8" s="145">
        <v>1</v>
      </c>
      <c r="X8" s="62">
        <v>0</v>
      </c>
      <c r="Y8" s="60"/>
      <c r="Z8" s="61"/>
      <c r="AA8" s="63"/>
      <c r="AB8" s="152"/>
      <c r="AC8" s="63"/>
      <c r="AD8" s="152" t="s">
        <v>431</v>
      </c>
      <c r="AE8" s="64" t="s">
        <v>91</v>
      </c>
      <c r="AF8" s="270"/>
      <c r="AG8" s="65"/>
      <c r="AH8" s="65"/>
      <c r="AI8" s="65"/>
      <c r="AJ8" s="65"/>
      <c r="AK8" s="196">
        <v>5473</v>
      </c>
      <c r="AL8" s="66">
        <v>7313.38</v>
      </c>
      <c r="AM8" s="270"/>
      <c r="AN8" s="65"/>
      <c r="AO8" s="65"/>
      <c r="AP8" s="65"/>
      <c r="AQ8" s="65"/>
      <c r="AR8" s="196">
        <v>1692</v>
      </c>
      <c r="AS8" s="66">
        <v>2195</v>
      </c>
      <c r="AT8" s="276"/>
      <c r="AU8" s="67"/>
      <c r="AV8" s="67"/>
      <c r="AW8" s="67"/>
      <c r="AX8" s="67"/>
      <c r="AY8" s="190">
        <f t="shared" si="5"/>
        <v>0.30915402886899324</v>
      </c>
      <c r="AZ8" s="68">
        <f t="shared" si="6"/>
        <v>0.30013482138217895</v>
      </c>
      <c r="BA8" s="276"/>
      <c r="BB8" s="69"/>
      <c r="BC8" s="69"/>
      <c r="BD8" s="69"/>
      <c r="BE8" s="69"/>
      <c r="BF8" s="199"/>
      <c r="BG8" s="70"/>
      <c r="BH8" s="60"/>
      <c r="BI8" s="71"/>
      <c r="BJ8" s="71"/>
      <c r="BK8" s="71"/>
      <c r="BL8" s="71"/>
      <c r="BM8" s="200"/>
      <c r="BN8" s="72">
        <f t="shared" si="8"/>
        <v>-0.90192074868142846</v>
      </c>
      <c r="BO8" s="276"/>
      <c r="BP8" s="67"/>
      <c r="BQ8" s="67"/>
      <c r="BR8" s="190">
        <f>W8/P8</f>
        <v>5.8823529411764705E-2</v>
      </c>
      <c r="BS8" s="190">
        <f t="shared" si="18"/>
        <v>0</v>
      </c>
      <c r="BT8" s="73"/>
      <c r="BU8" s="73">
        <f>(Q8-P8)/P8</f>
        <v>5.8823529411764705E-2</v>
      </c>
    </row>
    <row r="9" spans="1:73" s="14" customFormat="1" x14ac:dyDescent="0.25">
      <c r="A9" s="13"/>
      <c r="B9" s="59" t="s">
        <v>323</v>
      </c>
      <c r="C9" s="60"/>
      <c r="D9" s="61"/>
      <c r="E9" s="61"/>
      <c r="F9" s="145">
        <v>1</v>
      </c>
      <c r="G9" s="62">
        <v>1</v>
      </c>
      <c r="H9" s="60"/>
      <c r="I9" s="61"/>
      <c r="J9" s="61"/>
      <c r="K9" s="145">
        <v>16</v>
      </c>
      <c r="L9" s="62">
        <v>0</v>
      </c>
      <c r="M9" s="60"/>
      <c r="N9" s="61"/>
      <c r="O9" s="61"/>
      <c r="P9" s="145">
        <v>8</v>
      </c>
      <c r="Q9" s="62">
        <v>11</v>
      </c>
      <c r="R9" s="60"/>
      <c r="S9" s="61"/>
      <c r="T9" s="61"/>
      <c r="U9" s="61"/>
      <c r="V9" s="61"/>
      <c r="W9" s="145">
        <v>0</v>
      </c>
      <c r="X9" s="62">
        <v>0</v>
      </c>
      <c r="Y9" s="60"/>
      <c r="Z9" s="61"/>
      <c r="AA9" s="63"/>
      <c r="AB9" s="152"/>
      <c r="AC9" s="63"/>
      <c r="AD9" s="152">
        <v>26.34</v>
      </c>
      <c r="AE9" s="64">
        <v>38.29</v>
      </c>
      <c r="AF9" s="270"/>
      <c r="AG9" s="65"/>
      <c r="AH9" s="65"/>
      <c r="AI9" s="65"/>
      <c r="AJ9" s="65"/>
      <c r="AK9" s="196">
        <v>3225.6</v>
      </c>
      <c r="AL9" s="66">
        <v>3284.48</v>
      </c>
      <c r="AM9" s="270"/>
      <c r="AN9" s="65"/>
      <c r="AO9" s="65"/>
      <c r="AP9" s="65"/>
      <c r="AQ9" s="65"/>
      <c r="AR9" s="196">
        <v>732.3</v>
      </c>
      <c r="AS9" s="66">
        <v>909.54</v>
      </c>
      <c r="AT9" s="276"/>
      <c r="AU9" s="67"/>
      <c r="AV9" s="67"/>
      <c r="AW9" s="67"/>
      <c r="AX9" s="67"/>
      <c r="AY9" s="190">
        <f t="shared" si="5"/>
        <v>0.22702752976190477</v>
      </c>
      <c r="AZ9" s="68">
        <f t="shared" si="6"/>
        <v>0.27692054754481682</v>
      </c>
      <c r="BA9" s="276"/>
      <c r="BB9" s="69"/>
      <c r="BC9" s="69"/>
      <c r="BD9" s="69"/>
      <c r="BE9" s="69"/>
      <c r="BF9" s="199"/>
      <c r="BG9" s="70"/>
      <c r="BH9" s="60"/>
      <c r="BI9" s="71"/>
      <c r="BJ9" s="71"/>
      <c r="BK9" s="71"/>
      <c r="BL9" s="71"/>
      <c r="BM9" s="200"/>
      <c r="BN9" s="72">
        <f t="shared" si="8"/>
        <v>4.989301778291205</v>
      </c>
      <c r="BO9" s="276"/>
      <c r="BP9" s="67"/>
      <c r="BQ9" s="67"/>
      <c r="BR9" s="190">
        <f>W9/P9</f>
        <v>0</v>
      </c>
      <c r="BS9" s="190">
        <f t="shared" si="18"/>
        <v>0</v>
      </c>
      <c r="BT9" s="73">
        <f t="shared" si="20"/>
        <v>0.45368261199696275</v>
      </c>
      <c r="BU9" s="73">
        <f>(Q9-P9)/P9</f>
        <v>0.375</v>
      </c>
    </row>
    <row r="10" spans="1:73" s="14" customFormat="1" x14ac:dyDescent="0.25">
      <c r="A10" s="13">
        <v>5</v>
      </c>
      <c r="B10" s="59" t="s">
        <v>415</v>
      </c>
      <c r="C10" s="60"/>
      <c r="D10" s="61"/>
      <c r="E10" s="61"/>
      <c r="F10" s="145"/>
      <c r="G10" s="62">
        <v>0</v>
      </c>
      <c r="H10" s="60"/>
      <c r="I10" s="61"/>
      <c r="J10" s="61"/>
      <c r="K10" s="145"/>
      <c r="L10" s="62">
        <v>84</v>
      </c>
      <c r="M10" s="60"/>
      <c r="N10" s="61"/>
      <c r="O10" s="61"/>
      <c r="P10" s="145"/>
      <c r="Q10" s="62">
        <v>22</v>
      </c>
      <c r="R10" s="60"/>
      <c r="S10" s="61"/>
      <c r="T10" s="61"/>
      <c r="U10" s="61"/>
      <c r="V10" s="61"/>
      <c r="W10" s="145"/>
      <c r="X10" s="62">
        <v>0</v>
      </c>
      <c r="Y10" s="60"/>
      <c r="Z10" s="61"/>
      <c r="AA10" s="61"/>
      <c r="AB10" s="145"/>
      <c r="AC10" s="61"/>
      <c r="AD10" s="152"/>
      <c r="AE10" s="64">
        <v>37.630000000000003</v>
      </c>
      <c r="AF10" s="270"/>
      <c r="AG10" s="65"/>
      <c r="AH10" s="65"/>
      <c r="AI10" s="65"/>
      <c r="AJ10" s="65"/>
      <c r="AK10" s="196"/>
      <c r="AL10" s="66">
        <v>31078</v>
      </c>
      <c r="AM10" s="270"/>
      <c r="AN10" s="65"/>
      <c r="AO10" s="65"/>
      <c r="AP10" s="65"/>
      <c r="AQ10" s="65"/>
      <c r="AR10" s="196"/>
      <c r="AS10" s="66">
        <v>9371</v>
      </c>
      <c r="AT10" s="276"/>
      <c r="AU10" s="67"/>
      <c r="AV10" s="67"/>
      <c r="AW10" s="67"/>
      <c r="AX10" s="67"/>
      <c r="AY10" s="190"/>
      <c r="AZ10" s="68">
        <f t="shared" si="6"/>
        <v>0.30153163009202649</v>
      </c>
      <c r="BA10" s="276" t="s">
        <v>226</v>
      </c>
      <c r="BB10" s="69"/>
      <c r="BC10" s="69"/>
      <c r="BD10" s="69"/>
      <c r="BE10" s="69"/>
      <c r="BF10" s="199"/>
      <c r="BG10" s="70"/>
      <c r="BH10" s="60" t="s">
        <v>226</v>
      </c>
      <c r="BI10" s="71"/>
      <c r="BJ10" s="71"/>
      <c r="BK10" s="71"/>
      <c r="BL10" s="71"/>
      <c r="BM10" s="200"/>
      <c r="BN10" s="72"/>
      <c r="BO10" s="276"/>
      <c r="BP10" s="67"/>
      <c r="BQ10" s="67"/>
      <c r="BR10" s="190"/>
      <c r="BS10" s="190">
        <f t="shared" si="18"/>
        <v>0</v>
      </c>
      <c r="BT10" s="73"/>
      <c r="BU10" s="73"/>
    </row>
    <row r="11" spans="1:73" s="14" customFormat="1" x14ac:dyDescent="0.25">
      <c r="A11" s="13"/>
      <c r="B11" s="59" t="s">
        <v>416</v>
      </c>
      <c r="C11" s="60"/>
      <c r="D11" s="61"/>
      <c r="E11" s="61"/>
      <c r="F11" s="145"/>
      <c r="G11" s="62">
        <v>0</v>
      </c>
      <c r="H11" s="60"/>
      <c r="I11" s="61"/>
      <c r="J11" s="61"/>
      <c r="K11" s="145"/>
      <c r="L11" s="62">
        <v>65</v>
      </c>
      <c r="M11" s="60"/>
      <c r="N11" s="61"/>
      <c r="O11" s="61"/>
      <c r="P11" s="145"/>
      <c r="Q11" s="62">
        <v>5</v>
      </c>
      <c r="R11" s="60"/>
      <c r="S11" s="61"/>
      <c r="T11" s="61"/>
      <c r="U11" s="61"/>
      <c r="V11" s="61"/>
      <c r="W11" s="145"/>
      <c r="X11" s="62">
        <v>0</v>
      </c>
      <c r="Y11" s="60"/>
      <c r="Z11" s="61"/>
      <c r="AA11" s="61"/>
      <c r="AB11" s="145"/>
      <c r="AC11" s="61"/>
      <c r="AD11" s="152"/>
      <c r="AE11" s="64" t="s">
        <v>151</v>
      </c>
      <c r="AF11" s="270"/>
      <c r="AG11" s="65"/>
      <c r="AH11" s="65"/>
      <c r="AI11" s="65"/>
      <c r="AJ11" s="65"/>
      <c r="AK11" s="196"/>
      <c r="AL11" s="66">
        <v>15853.09</v>
      </c>
      <c r="AM11" s="270"/>
      <c r="AN11" s="65"/>
      <c r="AO11" s="65"/>
      <c r="AP11" s="65"/>
      <c r="AQ11" s="65"/>
      <c r="AR11" s="196"/>
      <c r="AS11" s="66">
        <v>446.25</v>
      </c>
      <c r="AT11" s="276"/>
      <c r="AU11" s="67"/>
      <c r="AV11" s="67"/>
      <c r="AW11" s="67"/>
      <c r="AX11" s="67"/>
      <c r="AY11" s="190"/>
      <c r="AZ11" s="68">
        <f t="shared" si="6"/>
        <v>2.8149086392621248E-2</v>
      </c>
      <c r="BA11" s="276"/>
      <c r="BB11" s="69"/>
      <c r="BC11" s="69"/>
      <c r="BD11" s="69"/>
      <c r="BE11" s="69"/>
      <c r="BF11" s="199"/>
      <c r="BG11" s="70"/>
      <c r="BH11" s="60"/>
      <c r="BI11" s="71"/>
      <c r="BJ11" s="71"/>
      <c r="BK11" s="71"/>
      <c r="BL11" s="71"/>
      <c r="BM11" s="200"/>
      <c r="BN11" s="72"/>
      <c r="BO11" s="276"/>
      <c r="BP11" s="67"/>
      <c r="BQ11" s="67"/>
      <c r="BR11" s="190"/>
      <c r="BS11" s="190">
        <f t="shared" si="18"/>
        <v>0</v>
      </c>
      <c r="BT11" s="73"/>
      <c r="BU11" s="73"/>
    </row>
    <row r="12" spans="1:73" s="11" customFormat="1" x14ac:dyDescent="0.25">
      <c r="A12" s="10"/>
      <c r="B12" s="33" t="s">
        <v>417</v>
      </c>
      <c r="C12" s="34"/>
      <c r="D12" s="35"/>
      <c r="E12" s="35"/>
      <c r="F12" s="93"/>
      <c r="G12" s="36">
        <v>0</v>
      </c>
      <c r="H12" s="34"/>
      <c r="I12" s="35"/>
      <c r="J12" s="35"/>
      <c r="K12" s="93"/>
      <c r="L12" s="36">
        <v>28</v>
      </c>
      <c r="M12" s="34"/>
      <c r="N12" s="35"/>
      <c r="O12" s="35"/>
      <c r="P12" s="93"/>
      <c r="Q12" s="36">
        <v>7</v>
      </c>
      <c r="R12" s="34"/>
      <c r="S12" s="35"/>
      <c r="T12" s="35"/>
      <c r="U12" s="35"/>
      <c r="V12" s="35"/>
      <c r="W12" s="93"/>
      <c r="X12" s="36">
        <v>1</v>
      </c>
      <c r="Y12" s="34"/>
      <c r="Z12" s="35"/>
      <c r="AA12" s="35"/>
      <c r="AB12" s="93"/>
      <c r="AC12" s="35"/>
      <c r="AD12" s="154"/>
      <c r="AE12" s="90" t="s">
        <v>113</v>
      </c>
      <c r="AF12" s="38"/>
      <c r="AG12" s="39"/>
      <c r="AH12" s="39"/>
      <c r="AI12" s="39"/>
      <c r="AJ12" s="39"/>
      <c r="AK12" s="182"/>
      <c r="AL12" s="40">
        <v>3200.21</v>
      </c>
      <c r="AM12" s="38"/>
      <c r="AN12" s="39"/>
      <c r="AO12" s="39"/>
      <c r="AP12" s="39"/>
      <c r="AQ12" s="39"/>
      <c r="AR12" s="182"/>
      <c r="AS12" s="40">
        <v>1390.94</v>
      </c>
      <c r="AT12" s="41"/>
      <c r="AU12" s="42"/>
      <c r="AV12" s="42"/>
      <c r="AW12" s="42"/>
      <c r="AX12" s="42"/>
      <c r="AY12" s="183"/>
      <c r="AZ12" s="43">
        <f t="shared" si="6"/>
        <v>0.43464022673512054</v>
      </c>
      <c r="BA12" s="41"/>
      <c r="BB12" s="44"/>
      <c r="BC12" s="44"/>
      <c r="BD12" s="44"/>
      <c r="BE12" s="44"/>
      <c r="BF12" s="184"/>
      <c r="BG12" s="45"/>
      <c r="BH12" s="34"/>
      <c r="BI12" s="46"/>
      <c r="BJ12" s="46"/>
      <c r="BK12" s="46"/>
      <c r="BL12" s="46"/>
      <c r="BM12" s="185"/>
      <c r="BN12" s="47"/>
      <c r="BO12" s="41"/>
      <c r="BP12" s="42"/>
      <c r="BQ12" s="42"/>
      <c r="BR12" s="183"/>
      <c r="BS12" s="183">
        <f t="shared" si="18"/>
        <v>0.14285714285714285</v>
      </c>
      <c r="BT12" s="48"/>
      <c r="BU12" s="48"/>
    </row>
    <row r="13" spans="1:73" s="14" customFormat="1" x14ac:dyDescent="0.25">
      <c r="A13" s="13">
        <v>6</v>
      </c>
      <c r="B13" s="59" t="s">
        <v>4</v>
      </c>
      <c r="C13" s="60">
        <v>0</v>
      </c>
      <c r="D13" s="61">
        <v>0</v>
      </c>
      <c r="E13" s="61">
        <v>0</v>
      </c>
      <c r="F13" s="145">
        <v>0</v>
      </c>
      <c r="G13" s="62"/>
      <c r="H13" s="60">
        <v>114</v>
      </c>
      <c r="I13" s="61">
        <v>114</v>
      </c>
      <c r="J13" s="61">
        <v>114</v>
      </c>
      <c r="K13" s="145">
        <v>114</v>
      </c>
      <c r="L13" s="62"/>
      <c r="M13" s="60">
        <v>20</v>
      </c>
      <c r="N13" s="61">
        <v>28</v>
      </c>
      <c r="O13" s="61">
        <v>31</v>
      </c>
      <c r="P13" s="145">
        <v>15</v>
      </c>
      <c r="Q13" s="62"/>
      <c r="R13" s="60">
        <v>0</v>
      </c>
      <c r="S13" s="61">
        <v>0</v>
      </c>
      <c r="T13" s="61">
        <v>0</v>
      </c>
      <c r="U13" s="61">
        <v>0</v>
      </c>
      <c r="V13" s="61">
        <v>0</v>
      </c>
      <c r="W13" s="145">
        <v>4</v>
      </c>
      <c r="X13" s="62"/>
      <c r="Y13" s="60">
        <v>20.32</v>
      </c>
      <c r="Z13" s="61">
        <v>20.32</v>
      </c>
      <c r="AA13" s="61">
        <v>25.37</v>
      </c>
      <c r="AB13" s="145">
        <v>33.049999999999997</v>
      </c>
      <c r="AC13" s="61">
        <v>33.049999999999997</v>
      </c>
      <c r="AD13" s="152">
        <v>33.049999999999997</v>
      </c>
      <c r="AE13" s="64"/>
      <c r="AF13" s="270">
        <v>15904</v>
      </c>
      <c r="AG13" s="65">
        <v>20573</v>
      </c>
      <c r="AH13" s="65">
        <v>25655</v>
      </c>
      <c r="AI13" s="65">
        <v>36194</v>
      </c>
      <c r="AJ13" s="65">
        <v>40706</v>
      </c>
      <c r="AK13" s="196">
        <v>36413</v>
      </c>
      <c r="AL13" s="66"/>
      <c r="AM13" s="270">
        <v>2577</v>
      </c>
      <c r="AN13" s="65">
        <v>3189</v>
      </c>
      <c r="AO13" s="65">
        <v>4514</v>
      </c>
      <c r="AP13" s="65">
        <v>5260</v>
      </c>
      <c r="AQ13" s="65">
        <v>7432</v>
      </c>
      <c r="AR13" s="196">
        <v>4297.17</v>
      </c>
      <c r="AS13" s="66"/>
      <c r="AT13" s="276">
        <f t="shared" ref="AT13:AU16" si="21">AM13/AF13</f>
        <v>0.16203470824949698</v>
      </c>
      <c r="AU13" s="67">
        <f t="shared" si="21"/>
        <v>0.15500899236863849</v>
      </c>
      <c r="AV13" s="67">
        <f t="shared" si="17"/>
        <v>0.17595010719158058</v>
      </c>
      <c r="AW13" s="67">
        <f t="shared" ref="AW13:AX16" si="22">AP13/AI13</f>
        <v>0.14532795490965353</v>
      </c>
      <c r="AX13" s="67">
        <f t="shared" si="22"/>
        <v>0.18257750700142486</v>
      </c>
      <c r="AY13" s="190">
        <f t="shared" si="5"/>
        <v>0.11801197374564029</v>
      </c>
      <c r="AZ13" s="68"/>
      <c r="BA13" s="276" t="s">
        <v>226</v>
      </c>
      <c r="BB13" s="69">
        <f t="shared" si="9"/>
        <v>-0.70257158808584852</v>
      </c>
      <c r="BC13" s="69">
        <f t="shared" si="10"/>
        <v>1.3915398942083601</v>
      </c>
      <c r="BD13" s="69">
        <f t="shared" si="11"/>
        <v>-1.670675333984345</v>
      </c>
      <c r="BE13" s="69">
        <f>(AX13-$AT13)*100</f>
        <v>2.0542798751927882</v>
      </c>
      <c r="BF13" s="199">
        <f t="shared" si="12"/>
        <v>-4.4022734503856684</v>
      </c>
      <c r="BG13" s="70"/>
      <c r="BH13" s="60" t="s">
        <v>226</v>
      </c>
      <c r="BI13" s="71">
        <f t="shared" si="13"/>
        <v>-0.70257158808584852</v>
      </c>
      <c r="BJ13" s="71">
        <f t="shared" si="14"/>
        <v>2.0941114822942088</v>
      </c>
      <c r="BK13" s="71">
        <f t="shared" si="7"/>
        <v>-3.0622152281927049</v>
      </c>
      <c r="BL13" s="71">
        <f>(AX13-AW13)*100</f>
        <v>3.724955209177133</v>
      </c>
      <c r="BM13" s="200">
        <f t="shared" si="15"/>
        <v>-6.4565533255784571</v>
      </c>
      <c r="BN13" s="72"/>
      <c r="BO13" s="276">
        <f>T13/M13</f>
        <v>0</v>
      </c>
      <c r="BP13" s="67">
        <f>U13/N13</f>
        <v>0</v>
      </c>
      <c r="BQ13" s="67">
        <f>V13/O13</f>
        <v>0</v>
      </c>
      <c r="BR13" s="190">
        <f>W13/P13</f>
        <v>0.26666666666666666</v>
      </c>
      <c r="BS13" s="190"/>
      <c r="BT13" s="73"/>
      <c r="BU13" s="73"/>
    </row>
    <row r="14" spans="1:73" s="14" customFormat="1" x14ac:dyDescent="0.25">
      <c r="A14" s="13">
        <v>7</v>
      </c>
      <c r="B14" s="59" t="s">
        <v>5</v>
      </c>
      <c r="C14" s="60">
        <v>82</v>
      </c>
      <c r="D14" s="61">
        <v>82</v>
      </c>
      <c r="E14" s="61">
        <v>82</v>
      </c>
      <c r="F14" s="145"/>
      <c r="G14" s="62"/>
      <c r="H14" s="60">
        <v>20</v>
      </c>
      <c r="I14" s="61">
        <v>24</v>
      </c>
      <c r="J14" s="61">
        <v>30</v>
      </c>
      <c r="K14" s="145"/>
      <c r="L14" s="62"/>
      <c r="M14" s="60"/>
      <c r="N14" s="61"/>
      <c r="O14" s="61"/>
      <c r="P14" s="145"/>
      <c r="Q14" s="62"/>
      <c r="R14" s="60"/>
      <c r="S14" s="61"/>
      <c r="T14" s="61"/>
      <c r="U14" s="61"/>
      <c r="V14" s="61"/>
      <c r="W14" s="145"/>
      <c r="X14" s="62"/>
      <c r="Y14" s="60">
        <v>24.7</v>
      </c>
      <c r="Z14" s="61">
        <v>24.7</v>
      </c>
      <c r="AA14" s="61">
        <v>83.66</v>
      </c>
      <c r="AB14" s="145">
        <v>83.66</v>
      </c>
      <c r="AC14" s="61">
        <v>83.66</v>
      </c>
      <c r="AD14" s="152"/>
      <c r="AE14" s="64"/>
      <c r="AF14" s="270">
        <v>13416</v>
      </c>
      <c r="AG14" s="65">
        <v>12959</v>
      </c>
      <c r="AH14" s="65">
        <v>13203</v>
      </c>
      <c r="AI14" s="65">
        <v>17597</v>
      </c>
      <c r="AJ14" s="65">
        <v>22047</v>
      </c>
      <c r="AK14" s="196"/>
      <c r="AL14" s="66"/>
      <c r="AM14" s="270">
        <v>10139</v>
      </c>
      <c r="AN14" s="65">
        <v>12035</v>
      </c>
      <c r="AO14" s="65">
        <v>8619</v>
      </c>
      <c r="AP14" s="65">
        <v>11932</v>
      </c>
      <c r="AQ14" s="65">
        <v>12117</v>
      </c>
      <c r="AR14" s="196"/>
      <c r="AS14" s="66"/>
      <c r="AT14" s="276">
        <f t="shared" si="21"/>
        <v>0.75573941562313651</v>
      </c>
      <c r="AU14" s="67">
        <f t="shared" si="21"/>
        <v>0.9286982020217609</v>
      </c>
      <c r="AV14" s="67">
        <f t="shared" si="17"/>
        <v>0.65280618041354233</v>
      </c>
      <c r="AW14" s="67">
        <f t="shared" si="22"/>
        <v>0.67807012558958912</v>
      </c>
      <c r="AX14" s="67">
        <f t="shared" si="22"/>
        <v>0.54959858484147506</v>
      </c>
      <c r="AY14" s="190"/>
      <c r="AZ14" s="68"/>
      <c r="BA14" s="276" t="s">
        <v>226</v>
      </c>
      <c r="BB14" s="69">
        <f t="shared" si="9"/>
        <v>17.295878639862437</v>
      </c>
      <c r="BC14" s="69">
        <f t="shared" si="10"/>
        <v>-10.293323520959419</v>
      </c>
      <c r="BD14" s="69">
        <f t="shared" si="11"/>
        <v>-7.7669290033547389</v>
      </c>
      <c r="BE14" s="69">
        <f>(AX14-$AT14)*100</f>
        <v>-20.614083078166146</v>
      </c>
      <c r="BF14" s="199"/>
      <c r="BG14" s="70"/>
      <c r="BH14" s="60" t="s">
        <v>226</v>
      </c>
      <c r="BI14" s="71">
        <f t="shared" si="13"/>
        <v>17.295878639862437</v>
      </c>
      <c r="BJ14" s="71">
        <f t="shared" si="14"/>
        <v>-27.589202160821856</v>
      </c>
      <c r="BK14" s="71">
        <f t="shared" si="7"/>
        <v>2.5263945176046798</v>
      </c>
      <c r="BL14" s="71">
        <f>(AX14-AW14)*100</f>
        <v>-12.847154074811407</v>
      </c>
      <c r="BM14" s="200"/>
      <c r="BN14" s="72"/>
      <c r="BO14" s="276"/>
      <c r="BP14" s="67"/>
      <c r="BQ14" s="67"/>
      <c r="BR14" s="190"/>
      <c r="BS14" s="190"/>
      <c r="BT14" s="73"/>
      <c r="BU14" s="73"/>
    </row>
    <row r="15" spans="1:73" s="9" customFormat="1" x14ac:dyDescent="0.25">
      <c r="A15" s="12">
        <v>8</v>
      </c>
      <c r="B15" s="17" t="s">
        <v>234</v>
      </c>
      <c r="C15" s="2">
        <v>43</v>
      </c>
      <c r="D15" s="3">
        <v>42</v>
      </c>
      <c r="E15" s="3">
        <v>42</v>
      </c>
      <c r="F15" s="144">
        <v>86</v>
      </c>
      <c r="G15" s="4">
        <v>46</v>
      </c>
      <c r="H15" s="2">
        <v>329</v>
      </c>
      <c r="I15" s="3">
        <v>347</v>
      </c>
      <c r="J15" s="3">
        <v>347</v>
      </c>
      <c r="K15" s="144">
        <v>329</v>
      </c>
      <c r="L15" s="4">
        <v>291</v>
      </c>
      <c r="M15" s="2">
        <v>280</v>
      </c>
      <c r="N15" s="3">
        <v>292</v>
      </c>
      <c r="O15" s="3">
        <v>248</v>
      </c>
      <c r="P15" s="144">
        <v>494</v>
      </c>
      <c r="Q15" s="4">
        <v>68</v>
      </c>
      <c r="R15" s="2">
        <v>0</v>
      </c>
      <c r="S15" s="3">
        <v>0</v>
      </c>
      <c r="T15" s="3">
        <v>0</v>
      </c>
      <c r="U15" s="3">
        <v>2</v>
      </c>
      <c r="V15" s="3">
        <v>16</v>
      </c>
      <c r="W15" s="144">
        <v>98</v>
      </c>
      <c r="X15" s="4">
        <v>0</v>
      </c>
      <c r="Y15" s="2">
        <v>22.76</v>
      </c>
      <c r="Z15" s="3">
        <v>27.26</v>
      </c>
      <c r="AA15" s="3">
        <v>38.74</v>
      </c>
      <c r="AB15" s="144">
        <v>38.74</v>
      </c>
      <c r="AC15" s="3">
        <v>38.74</v>
      </c>
      <c r="AD15" s="153">
        <v>38.74</v>
      </c>
      <c r="AE15" s="86">
        <v>40.590000000000003</v>
      </c>
      <c r="AF15" s="19">
        <v>368822</v>
      </c>
      <c r="AG15" s="20">
        <v>412599</v>
      </c>
      <c r="AH15" s="20">
        <v>428855</v>
      </c>
      <c r="AI15" s="20">
        <v>597660</v>
      </c>
      <c r="AJ15" s="20">
        <v>618618</v>
      </c>
      <c r="AK15" s="210">
        <v>636016.78399999999</v>
      </c>
      <c r="AL15" s="21">
        <v>89379</v>
      </c>
      <c r="AM15" s="19">
        <v>41621</v>
      </c>
      <c r="AN15" s="20">
        <v>46520</v>
      </c>
      <c r="AO15" s="20">
        <v>46409</v>
      </c>
      <c r="AP15" s="20">
        <v>56115</v>
      </c>
      <c r="AQ15" s="20">
        <v>58299</v>
      </c>
      <c r="AR15" s="210">
        <v>41710.436999999998</v>
      </c>
      <c r="AS15" s="21">
        <v>1460</v>
      </c>
      <c r="AT15" s="50">
        <f t="shared" si="21"/>
        <v>0.11284847433179149</v>
      </c>
      <c r="AU15" s="51">
        <f t="shared" si="21"/>
        <v>0.11274869788826439</v>
      </c>
      <c r="AV15" s="51">
        <f t="shared" si="17"/>
        <v>0.10821606370451552</v>
      </c>
      <c r="AW15" s="51">
        <f t="shared" si="22"/>
        <v>9.3891175584780648E-2</v>
      </c>
      <c r="AX15" s="51">
        <f t="shared" si="22"/>
        <v>9.4240710745565115E-2</v>
      </c>
      <c r="AY15" s="211">
        <f t="shared" si="5"/>
        <v>6.5580717442198816E-2</v>
      </c>
      <c r="AZ15" s="52">
        <f t="shared" si="6"/>
        <v>1.6334933261728145E-2</v>
      </c>
      <c r="BA15" s="50" t="s">
        <v>226</v>
      </c>
      <c r="BB15" s="53">
        <f t="shared" si="9"/>
        <v>-9.9776443527099801E-3</v>
      </c>
      <c r="BC15" s="53">
        <f t="shared" si="10"/>
        <v>-0.46324106272759707</v>
      </c>
      <c r="BD15" s="53">
        <f t="shared" si="11"/>
        <v>-1.895729874701084</v>
      </c>
      <c r="BE15" s="53">
        <f>(AX15-$AT15)*100</f>
        <v>-1.8607763586226373</v>
      </c>
      <c r="BF15" s="212">
        <f t="shared" si="12"/>
        <v>-4.7267756889592674</v>
      </c>
      <c r="BG15" s="54">
        <f t="shared" ref="BG15:BG71" si="23">(AZ15-$AT15)*100</f>
        <v>-9.651354107006334</v>
      </c>
      <c r="BH15" s="2" t="s">
        <v>226</v>
      </c>
      <c r="BI15" s="55">
        <f t="shared" si="13"/>
        <v>-9.9776443527099801E-3</v>
      </c>
      <c r="BJ15" s="55">
        <f t="shared" si="14"/>
        <v>-0.45326341837488709</v>
      </c>
      <c r="BK15" s="55">
        <f t="shared" si="7"/>
        <v>-1.4324888119734869</v>
      </c>
      <c r="BL15" s="55">
        <f>(AX15-AW15)*100</f>
        <v>3.4953516078446711E-2</v>
      </c>
      <c r="BM15" s="213">
        <f t="shared" si="15"/>
        <v>-2.86599933033663</v>
      </c>
      <c r="BN15" s="56">
        <f>(AZ15-AY15)*100</f>
        <v>-4.9245784180470666</v>
      </c>
      <c r="BO15" s="50">
        <f>T15/M15</f>
        <v>0</v>
      </c>
      <c r="BP15" s="51">
        <f>U15/N15</f>
        <v>6.8493150684931503E-3</v>
      </c>
      <c r="BQ15" s="51">
        <f>V15/O15</f>
        <v>6.4516129032258063E-2</v>
      </c>
      <c r="BR15" s="211">
        <f>W15/P15</f>
        <v>0.19838056680161945</v>
      </c>
      <c r="BS15" s="211">
        <f>X15/Q15</f>
        <v>0</v>
      </c>
      <c r="BT15" s="57">
        <f t="shared" ref="BT15:BT68" si="24">(AE15-AD15)/AD15</f>
        <v>4.7754259163655173E-2</v>
      </c>
      <c r="BU15" s="57">
        <f>(Q15-P15)/P15</f>
        <v>-0.86234817813765186</v>
      </c>
    </row>
    <row r="16" spans="1:73" s="9" customFormat="1" x14ac:dyDescent="0.25">
      <c r="A16" s="12"/>
      <c r="B16" s="17" t="s">
        <v>6</v>
      </c>
      <c r="C16" s="2">
        <v>42</v>
      </c>
      <c r="D16" s="3">
        <v>43</v>
      </c>
      <c r="E16" s="3">
        <v>42</v>
      </c>
      <c r="F16" s="144"/>
      <c r="G16" s="4">
        <v>7</v>
      </c>
      <c r="H16" s="2">
        <v>1647</v>
      </c>
      <c r="I16" s="3">
        <v>1665</v>
      </c>
      <c r="J16" s="3">
        <v>1647</v>
      </c>
      <c r="K16" s="144"/>
      <c r="L16" s="4">
        <v>61</v>
      </c>
      <c r="M16" s="2">
        <v>75</v>
      </c>
      <c r="N16" s="3">
        <v>126</v>
      </c>
      <c r="O16" s="3">
        <v>208</v>
      </c>
      <c r="P16" s="144"/>
      <c r="Q16" s="4">
        <v>37</v>
      </c>
      <c r="R16" s="2">
        <v>33</v>
      </c>
      <c r="S16" s="3">
        <v>37</v>
      </c>
      <c r="T16" s="3">
        <v>48</v>
      </c>
      <c r="U16" s="3">
        <v>77</v>
      </c>
      <c r="V16" s="3">
        <v>93</v>
      </c>
      <c r="W16" s="144"/>
      <c r="X16" s="4">
        <v>2</v>
      </c>
      <c r="Y16" s="2">
        <v>22.67</v>
      </c>
      <c r="Z16" s="3">
        <v>27.26</v>
      </c>
      <c r="AA16" s="3">
        <v>27.26</v>
      </c>
      <c r="AB16" s="144">
        <v>37.74</v>
      </c>
      <c r="AC16" s="3">
        <v>38.74</v>
      </c>
      <c r="AD16" s="153"/>
      <c r="AE16" s="86"/>
      <c r="AF16" s="19">
        <v>308200.84000000003</v>
      </c>
      <c r="AG16" s="20">
        <v>330539.42</v>
      </c>
      <c r="AH16" s="20">
        <v>35549.06</v>
      </c>
      <c r="AI16" s="20">
        <v>493473.52</v>
      </c>
      <c r="AJ16" s="20">
        <v>511041.2</v>
      </c>
      <c r="AK16" s="210"/>
      <c r="AL16" s="21">
        <v>36207</v>
      </c>
      <c r="AM16" s="19">
        <v>6955.25</v>
      </c>
      <c r="AN16" s="20">
        <v>6377.79</v>
      </c>
      <c r="AO16" s="20">
        <v>6384.07</v>
      </c>
      <c r="AP16" s="20">
        <v>26777.32</v>
      </c>
      <c r="AQ16" s="20">
        <v>48268.5</v>
      </c>
      <c r="AR16" s="210"/>
      <c r="AS16" s="21">
        <v>8704</v>
      </c>
      <c r="AT16" s="50">
        <f t="shared" si="21"/>
        <v>2.2567264904274756E-2</v>
      </c>
      <c r="AU16" s="51">
        <f t="shared" si="21"/>
        <v>1.9295096481986931E-2</v>
      </c>
      <c r="AV16" s="51">
        <f>AO16/AH16</f>
        <v>0.17958477664388314</v>
      </c>
      <c r="AW16" s="51">
        <f t="shared" si="22"/>
        <v>5.4262931879303269E-2</v>
      </c>
      <c r="AX16" s="51">
        <f t="shared" si="22"/>
        <v>9.445128885890218E-2</v>
      </c>
      <c r="AY16" s="211"/>
      <c r="AZ16" s="52">
        <f t="shared" si="6"/>
        <v>0.24039550363189438</v>
      </c>
      <c r="BA16" s="50" t="s">
        <v>226</v>
      </c>
      <c r="BB16" s="53">
        <f t="shared" si="9"/>
        <v>-0.3272168422287825</v>
      </c>
      <c r="BC16" s="53">
        <f t="shared" si="10"/>
        <v>15.701751173960837</v>
      </c>
      <c r="BD16" s="53">
        <f t="shared" si="11"/>
        <v>3.1695666975028516</v>
      </c>
      <c r="BE16" s="53">
        <f>(AX16-$AT16)*100</f>
        <v>7.1884023954627425</v>
      </c>
      <c r="BF16" s="212"/>
      <c r="BG16" s="54">
        <f t="shared" si="23"/>
        <v>21.782823872761963</v>
      </c>
      <c r="BH16" s="2" t="s">
        <v>226</v>
      </c>
      <c r="BI16" s="55">
        <f t="shared" si="13"/>
        <v>-0.3272168422287825</v>
      </c>
      <c r="BJ16" s="55">
        <f t="shared" si="14"/>
        <v>16.028968016189619</v>
      </c>
      <c r="BK16" s="55">
        <f t="shared" si="7"/>
        <v>-12.532184476457985</v>
      </c>
      <c r="BL16" s="55">
        <f>(AX16-AW16)*100</f>
        <v>4.0188356979598909</v>
      </c>
      <c r="BM16" s="213"/>
      <c r="BN16" s="56"/>
      <c r="BO16" s="50">
        <f>T16/M16</f>
        <v>0.64</v>
      </c>
      <c r="BP16" s="51">
        <f>U16/N16</f>
        <v>0.61111111111111116</v>
      </c>
      <c r="BQ16" s="51">
        <f>V16/O16</f>
        <v>0.44711538461538464</v>
      </c>
      <c r="BR16" s="211"/>
      <c r="BS16" s="211">
        <f>X16/Q16</f>
        <v>5.4054054054054057E-2</v>
      </c>
      <c r="BT16" s="57"/>
      <c r="BU16" s="57"/>
    </row>
    <row r="17" spans="1:73" s="14" customFormat="1" x14ac:dyDescent="0.25">
      <c r="A17" s="13">
        <v>9</v>
      </c>
      <c r="B17" s="59" t="s">
        <v>7</v>
      </c>
      <c r="C17" s="60"/>
      <c r="D17" s="61"/>
      <c r="E17" s="61"/>
      <c r="F17" s="145">
        <v>6</v>
      </c>
      <c r="G17" s="62"/>
      <c r="H17" s="60"/>
      <c r="I17" s="61"/>
      <c r="J17" s="61"/>
      <c r="K17" s="145">
        <v>59</v>
      </c>
      <c r="L17" s="62"/>
      <c r="M17" s="60"/>
      <c r="N17" s="61"/>
      <c r="O17" s="61"/>
      <c r="P17" s="145">
        <v>25</v>
      </c>
      <c r="Q17" s="62"/>
      <c r="R17" s="60"/>
      <c r="S17" s="61"/>
      <c r="T17" s="61"/>
      <c r="U17" s="61"/>
      <c r="V17" s="61"/>
      <c r="W17" s="145">
        <v>3</v>
      </c>
      <c r="X17" s="62"/>
      <c r="Y17" s="60"/>
      <c r="Z17" s="61"/>
      <c r="AA17" s="61"/>
      <c r="AB17" s="145"/>
      <c r="AC17" s="61"/>
      <c r="AD17" s="152"/>
      <c r="AE17" s="64"/>
      <c r="AF17" s="60"/>
      <c r="AG17" s="61"/>
      <c r="AH17" s="61"/>
      <c r="AI17" s="61"/>
      <c r="AJ17" s="61"/>
      <c r="AK17" s="145">
        <v>13743.27</v>
      </c>
      <c r="AL17" s="62"/>
      <c r="AM17" s="270"/>
      <c r="AN17" s="65"/>
      <c r="AO17" s="65"/>
      <c r="AP17" s="65"/>
      <c r="AQ17" s="65"/>
      <c r="AR17" s="196">
        <v>4703.76</v>
      </c>
      <c r="AS17" s="66"/>
      <c r="AT17" s="276"/>
      <c r="AU17" s="67"/>
      <c r="AV17" s="67"/>
      <c r="AW17" s="67"/>
      <c r="AX17" s="67"/>
      <c r="AY17" s="190">
        <f t="shared" si="5"/>
        <v>0.3422591566635888</v>
      </c>
      <c r="AZ17" s="68"/>
      <c r="BA17" s="276" t="s">
        <v>226</v>
      </c>
      <c r="BB17" s="69"/>
      <c r="BC17" s="69"/>
      <c r="BD17" s="69"/>
      <c r="BE17" s="69"/>
      <c r="BF17" s="199"/>
      <c r="BG17" s="70"/>
      <c r="BH17" s="60" t="s">
        <v>226</v>
      </c>
      <c r="BI17" s="71"/>
      <c r="BJ17" s="71"/>
      <c r="BK17" s="71"/>
      <c r="BL17" s="71"/>
      <c r="BM17" s="200"/>
      <c r="BN17" s="72"/>
      <c r="BO17" s="276"/>
      <c r="BP17" s="67"/>
      <c r="BQ17" s="67"/>
      <c r="BR17" s="190">
        <f>W17/P17</f>
        <v>0.12</v>
      </c>
      <c r="BS17" s="190"/>
      <c r="BT17" s="73"/>
      <c r="BU17" s="73"/>
    </row>
    <row r="18" spans="1:73" s="14" customFormat="1" x14ac:dyDescent="0.25">
      <c r="A18" s="13">
        <v>10</v>
      </c>
      <c r="B18" s="59" t="s">
        <v>334</v>
      </c>
      <c r="C18" s="60"/>
      <c r="D18" s="61"/>
      <c r="E18" s="61"/>
      <c r="F18" s="145">
        <v>4</v>
      </c>
      <c r="G18" s="62">
        <v>4</v>
      </c>
      <c r="H18" s="60"/>
      <c r="I18" s="61"/>
      <c r="J18" s="61"/>
      <c r="K18" s="145">
        <v>73</v>
      </c>
      <c r="L18" s="62">
        <v>77</v>
      </c>
      <c r="M18" s="60"/>
      <c r="N18" s="61"/>
      <c r="O18" s="61"/>
      <c r="P18" s="145">
        <v>23</v>
      </c>
      <c r="Q18" s="62">
        <v>31</v>
      </c>
      <c r="R18" s="60"/>
      <c r="S18" s="61"/>
      <c r="T18" s="61"/>
      <c r="U18" s="61"/>
      <c r="V18" s="61"/>
      <c r="W18" s="145">
        <v>1</v>
      </c>
      <c r="X18" s="62">
        <v>0</v>
      </c>
      <c r="Y18" s="60"/>
      <c r="Z18" s="61"/>
      <c r="AA18" s="61"/>
      <c r="AB18" s="145"/>
      <c r="AC18" s="61"/>
      <c r="AD18" s="152" t="s">
        <v>335</v>
      </c>
      <c r="AE18" s="152" t="s">
        <v>207</v>
      </c>
      <c r="AF18" s="60"/>
      <c r="AG18" s="61"/>
      <c r="AH18" s="61"/>
      <c r="AI18" s="61"/>
      <c r="AJ18" s="61"/>
      <c r="AK18" s="145">
        <v>20556.36</v>
      </c>
      <c r="AL18" s="62">
        <v>20703.810000000001</v>
      </c>
      <c r="AM18" s="270"/>
      <c r="AN18" s="65"/>
      <c r="AO18" s="65"/>
      <c r="AP18" s="65"/>
      <c r="AQ18" s="65"/>
      <c r="AR18" s="196">
        <v>1462.05</v>
      </c>
      <c r="AS18" s="66">
        <v>961.33</v>
      </c>
      <c r="AT18" s="276"/>
      <c r="AU18" s="67"/>
      <c r="AV18" s="67"/>
      <c r="AW18" s="67"/>
      <c r="AX18" s="67"/>
      <c r="AY18" s="190">
        <f t="shared" si="5"/>
        <v>7.1123973310449895E-2</v>
      </c>
      <c r="AZ18" s="68">
        <f t="shared" si="6"/>
        <v>4.6432516527151281E-2</v>
      </c>
      <c r="BA18" s="276" t="s">
        <v>226</v>
      </c>
      <c r="BB18" s="69"/>
      <c r="BC18" s="69"/>
      <c r="BD18" s="69"/>
      <c r="BE18" s="69"/>
      <c r="BF18" s="199"/>
      <c r="BG18" s="70"/>
      <c r="BH18" s="60" t="s">
        <v>226</v>
      </c>
      <c r="BI18" s="71"/>
      <c r="BJ18" s="71"/>
      <c r="BK18" s="71"/>
      <c r="BL18" s="71"/>
      <c r="BM18" s="200"/>
      <c r="BN18" s="72">
        <f t="shared" si="8"/>
        <v>-2.4691456783298613</v>
      </c>
      <c r="BO18" s="276"/>
      <c r="BP18" s="67"/>
      <c r="BQ18" s="67"/>
      <c r="BR18" s="190">
        <f>W18/P18</f>
        <v>4.3478260869565216E-2</v>
      </c>
      <c r="BS18" s="190">
        <f>X18/Q18</f>
        <v>0</v>
      </c>
      <c r="BT18" s="73"/>
      <c r="BU18" s="73">
        <f>(Q18-P18)/P18</f>
        <v>0.34782608695652173</v>
      </c>
    </row>
    <row r="19" spans="1:73" s="14" customFormat="1" x14ac:dyDescent="0.25">
      <c r="A19" s="13">
        <v>11</v>
      </c>
      <c r="B19" s="59" t="s">
        <v>387</v>
      </c>
      <c r="C19" s="60"/>
      <c r="D19" s="61"/>
      <c r="E19" s="61"/>
      <c r="F19" s="145"/>
      <c r="G19" s="62">
        <v>9</v>
      </c>
      <c r="H19" s="60"/>
      <c r="I19" s="61"/>
      <c r="J19" s="61"/>
      <c r="K19" s="145"/>
      <c r="L19" s="62">
        <v>157</v>
      </c>
      <c r="M19" s="60"/>
      <c r="N19" s="61"/>
      <c r="O19" s="61"/>
      <c r="P19" s="145"/>
      <c r="Q19" s="62">
        <v>23</v>
      </c>
      <c r="R19" s="60"/>
      <c r="S19" s="61"/>
      <c r="T19" s="61"/>
      <c r="U19" s="61"/>
      <c r="V19" s="61"/>
      <c r="W19" s="145"/>
      <c r="X19" s="62">
        <v>2</v>
      </c>
      <c r="Y19" s="60"/>
      <c r="Z19" s="61"/>
      <c r="AA19" s="61"/>
      <c r="AB19" s="145"/>
      <c r="AC19" s="61"/>
      <c r="AD19" s="152"/>
      <c r="AE19" s="64">
        <v>34.299999999999997</v>
      </c>
      <c r="AF19" s="60"/>
      <c r="AG19" s="61"/>
      <c r="AH19" s="61"/>
      <c r="AI19" s="61"/>
      <c r="AJ19" s="61"/>
      <c r="AK19" s="145"/>
      <c r="AL19" s="62">
        <v>41687</v>
      </c>
      <c r="AM19" s="270"/>
      <c r="AN19" s="65"/>
      <c r="AO19" s="65"/>
      <c r="AP19" s="65"/>
      <c r="AQ19" s="65"/>
      <c r="AR19" s="196"/>
      <c r="AS19" s="66">
        <v>5437</v>
      </c>
      <c r="AT19" s="276"/>
      <c r="AU19" s="67"/>
      <c r="AV19" s="67"/>
      <c r="AW19" s="67"/>
      <c r="AX19" s="67"/>
      <c r="AY19" s="190"/>
      <c r="AZ19" s="68">
        <f t="shared" si="6"/>
        <v>0.13042435291577711</v>
      </c>
      <c r="BA19" s="276" t="s">
        <v>226</v>
      </c>
      <c r="BB19" s="69"/>
      <c r="BC19" s="69"/>
      <c r="BD19" s="69"/>
      <c r="BE19" s="69"/>
      <c r="BF19" s="199"/>
      <c r="BG19" s="70"/>
      <c r="BH19" s="60" t="s">
        <v>226</v>
      </c>
      <c r="BI19" s="71"/>
      <c r="BJ19" s="71"/>
      <c r="BK19" s="71"/>
      <c r="BL19" s="71"/>
      <c r="BM19" s="200"/>
      <c r="BN19" s="72"/>
      <c r="BO19" s="276"/>
      <c r="BP19" s="67"/>
      <c r="BQ19" s="67"/>
      <c r="BR19" s="190"/>
      <c r="BS19" s="190">
        <f>X19/Q19</f>
        <v>8.6956521739130432E-2</v>
      </c>
      <c r="BT19" s="73"/>
      <c r="BU19" s="73"/>
    </row>
    <row r="20" spans="1:73" s="14" customFormat="1" x14ac:dyDescent="0.25">
      <c r="A20" s="13"/>
      <c r="B20" s="59" t="s">
        <v>418</v>
      </c>
      <c r="C20" s="60"/>
      <c r="D20" s="61"/>
      <c r="E20" s="61"/>
      <c r="F20" s="145"/>
      <c r="G20" s="62">
        <v>4</v>
      </c>
      <c r="H20" s="60"/>
      <c r="I20" s="61"/>
      <c r="J20" s="61"/>
      <c r="K20" s="145"/>
      <c r="L20" s="62">
        <v>57</v>
      </c>
      <c r="M20" s="60"/>
      <c r="N20" s="61"/>
      <c r="O20" s="61"/>
      <c r="P20" s="145"/>
      <c r="Q20" s="62">
        <v>23</v>
      </c>
      <c r="R20" s="60"/>
      <c r="S20" s="61"/>
      <c r="T20" s="61"/>
      <c r="U20" s="61"/>
      <c r="V20" s="61"/>
      <c r="W20" s="145"/>
      <c r="X20" s="62">
        <v>8</v>
      </c>
      <c r="Y20" s="60"/>
      <c r="Z20" s="61"/>
      <c r="AA20" s="61"/>
      <c r="AB20" s="145"/>
      <c r="AC20" s="61"/>
      <c r="AD20" s="152"/>
      <c r="AE20" s="152" t="s">
        <v>419</v>
      </c>
      <c r="AF20" s="60"/>
      <c r="AG20" s="61"/>
      <c r="AH20" s="61"/>
      <c r="AI20" s="61"/>
      <c r="AJ20" s="61"/>
      <c r="AK20" s="145"/>
      <c r="AL20" s="62">
        <v>18273</v>
      </c>
      <c r="AM20" s="270"/>
      <c r="AN20" s="65"/>
      <c r="AO20" s="65"/>
      <c r="AP20" s="65"/>
      <c r="AQ20" s="65"/>
      <c r="AR20" s="196"/>
      <c r="AS20" s="66">
        <v>4853</v>
      </c>
      <c r="AT20" s="276"/>
      <c r="AU20" s="67"/>
      <c r="AV20" s="67"/>
      <c r="AW20" s="67"/>
      <c r="AX20" s="67"/>
      <c r="AY20" s="190"/>
      <c r="AZ20" s="68">
        <f t="shared" ref="AZ20:AZ21" si="25">AS20/AL20</f>
        <v>0.26558310074974006</v>
      </c>
      <c r="BA20" s="276"/>
      <c r="BB20" s="69"/>
      <c r="BC20" s="69"/>
      <c r="BD20" s="69"/>
      <c r="BE20" s="69"/>
      <c r="BF20" s="199"/>
      <c r="BG20" s="70"/>
      <c r="BH20" s="60"/>
      <c r="BI20" s="71"/>
      <c r="BJ20" s="71"/>
      <c r="BK20" s="71"/>
      <c r="BL20" s="71"/>
      <c r="BM20" s="200"/>
      <c r="BN20" s="72"/>
      <c r="BO20" s="276"/>
      <c r="BP20" s="67"/>
      <c r="BQ20" s="67"/>
      <c r="BR20" s="190"/>
      <c r="BS20" s="190">
        <f>X20/Q20</f>
        <v>0.34782608695652173</v>
      </c>
      <c r="BT20" s="73"/>
      <c r="BU20" s="73"/>
    </row>
    <row r="21" spans="1:73" s="9" customFormat="1" x14ac:dyDescent="0.25">
      <c r="A21" s="12">
        <v>12</v>
      </c>
      <c r="B21" s="17" t="s">
        <v>8</v>
      </c>
      <c r="C21" s="2">
        <v>1</v>
      </c>
      <c r="D21" s="3">
        <v>1</v>
      </c>
      <c r="E21" s="3">
        <v>1</v>
      </c>
      <c r="F21" s="144">
        <v>1</v>
      </c>
      <c r="G21" s="4">
        <v>1</v>
      </c>
      <c r="H21" s="2">
        <v>654</v>
      </c>
      <c r="I21" s="3">
        <v>654</v>
      </c>
      <c r="J21" s="3">
        <v>654</v>
      </c>
      <c r="K21" s="144">
        <v>654</v>
      </c>
      <c r="L21" s="4">
        <v>654</v>
      </c>
      <c r="M21" s="2">
        <v>47</v>
      </c>
      <c r="N21" s="3">
        <v>82</v>
      </c>
      <c r="O21" s="3">
        <v>78</v>
      </c>
      <c r="P21" s="144">
        <v>76</v>
      </c>
      <c r="Q21" s="4">
        <v>106</v>
      </c>
      <c r="R21" s="2">
        <v>2</v>
      </c>
      <c r="S21" s="3">
        <v>2</v>
      </c>
      <c r="T21" s="3">
        <v>3</v>
      </c>
      <c r="U21" s="3">
        <v>4</v>
      </c>
      <c r="V21" s="3">
        <v>11</v>
      </c>
      <c r="W21" s="144">
        <v>15</v>
      </c>
      <c r="X21" s="4">
        <v>22</v>
      </c>
      <c r="Y21" s="2">
        <v>22.97</v>
      </c>
      <c r="Z21" s="3">
        <v>26.34</v>
      </c>
      <c r="AA21" s="3">
        <v>35.78</v>
      </c>
      <c r="AB21" s="153">
        <v>46</v>
      </c>
      <c r="AC21" s="3">
        <v>33.75</v>
      </c>
      <c r="AD21" s="153">
        <v>37.74</v>
      </c>
      <c r="AE21" s="153">
        <v>37.74</v>
      </c>
      <c r="AF21" s="19">
        <v>112321</v>
      </c>
      <c r="AG21" s="20">
        <v>106994</v>
      </c>
      <c r="AH21" s="20">
        <v>157486</v>
      </c>
      <c r="AI21" s="20">
        <v>206790</v>
      </c>
      <c r="AJ21" s="20">
        <v>163730</v>
      </c>
      <c r="AK21" s="210">
        <v>169972</v>
      </c>
      <c r="AL21" s="21">
        <v>164374</v>
      </c>
      <c r="AM21" s="19">
        <v>1175</v>
      </c>
      <c r="AN21" s="20">
        <v>2056</v>
      </c>
      <c r="AO21" s="20">
        <v>2483</v>
      </c>
      <c r="AP21" s="20">
        <v>14484</v>
      </c>
      <c r="AQ21" s="20">
        <v>13719</v>
      </c>
      <c r="AR21" s="210">
        <v>14115</v>
      </c>
      <c r="AS21" s="21">
        <v>13416</v>
      </c>
      <c r="AT21" s="50">
        <f>AM21/AF21</f>
        <v>1.0461089199704418E-2</v>
      </c>
      <c r="AU21" s="51">
        <f>AN21/AG21</f>
        <v>1.9216030805465727E-2</v>
      </c>
      <c r="AV21" s="51">
        <f>AO21/AH21</f>
        <v>1.5766480830042034E-2</v>
      </c>
      <c r="AW21" s="51">
        <f>AP21/AI21</f>
        <v>7.0042071666908456E-2</v>
      </c>
      <c r="AX21" s="51">
        <f>AQ21/AJ21</f>
        <v>8.3790386612105291E-2</v>
      </c>
      <c r="AY21" s="211">
        <f t="shared" si="5"/>
        <v>8.3043089450027058E-2</v>
      </c>
      <c r="AZ21" s="52">
        <f t="shared" si="25"/>
        <v>8.1618747490479024E-2</v>
      </c>
      <c r="BA21" s="50" t="s">
        <v>226</v>
      </c>
      <c r="BB21" s="53">
        <f t="shared" si="9"/>
        <v>0.87549416057613094</v>
      </c>
      <c r="BC21" s="53">
        <f t="shared" si="10"/>
        <v>0.5305391630337617</v>
      </c>
      <c r="BD21" s="53">
        <f t="shared" si="11"/>
        <v>5.9580982467204038</v>
      </c>
      <c r="BE21" s="53">
        <f>(AX21-$AT21)*100</f>
        <v>7.332929741240088</v>
      </c>
      <c r="BF21" s="212">
        <f t="shared" si="12"/>
        <v>7.2582000250322647</v>
      </c>
      <c r="BG21" s="212">
        <f t="shared" si="12"/>
        <v>7.1157658290774615</v>
      </c>
      <c r="BH21" s="2" t="s">
        <v>226</v>
      </c>
      <c r="BI21" s="55">
        <f t="shared" si="13"/>
        <v>0.87549416057613094</v>
      </c>
      <c r="BJ21" s="55">
        <f t="shared" si="14"/>
        <v>-0.3449549975423693</v>
      </c>
      <c r="BK21" s="55">
        <f t="shared" si="7"/>
        <v>5.4275590836866421</v>
      </c>
      <c r="BL21" s="55">
        <f>(AX21-AW21)*100</f>
        <v>1.3748314945196836</v>
      </c>
      <c r="BM21" s="213">
        <f t="shared" si="15"/>
        <v>-7.4729716207823371E-2</v>
      </c>
      <c r="BN21" s="213">
        <f t="shared" si="15"/>
        <v>-0.14243419595480339</v>
      </c>
      <c r="BO21" s="50">
        <f>T21/M21</f>
        <v>6.3829787234042548E-2</v>
      </c>
      <c r="BP21" s="51">
        <f>U21/N21</f>
        <v>4.878048780487805E-2</v>
      </c>
      <c r="BQ21" s="51">
        <f>V21/O21</f>
        <v>0.14102564102564102</v>
      </c>
      <c r="BR21" s="211">
        <f>W21/P21</f>
        <v>0.19736842105263158</v>
      </c>
      <c r="BS21" s="211">
        <f>X21/Q21</f>
        <v>0.20754716981132076</v>
      </c>
      <c r="BT21" s="57">
        <f t="shared" si="24"/>
        <v>0</v>
      </c>
      <c r="BU21" s="57">
        <f>(Q21-P21)/P21</f>
        <v>0.39473684210526316</v>
      </c>
    </row>
    <row r="22" spans="1:73" s="14" customFormat="1" x14ac:dyDescent="0.25">
      <c r="A22" s="13">
        <v>13</v>
      </c>
      <c r="B22" s="59" t="s">
        <v>9</v>
      </c>
      <c r="C22" s="60"/>
      <c r="D22" s="61"/>
      <c r="E22" s="61"/>
      <c r="F22" s="145">
        <v>3</v>
      </c>
      <c r="G22" s="62">
        <v>3</v>
      </c>
      <c r="H22" s="60"/>
      <c r="I22" s="61"/>
      <c r="J22" s="61"/>
      <c r="K22" s="145">
        <v>99</v>
      </c>
      <c r="L22" s="62">
        <v>99</v>
      </c>
      <c r="M22" s="60"/>
      <c r="N22" s="61"/>
      <c r="O22" s="61"/>
      <c r="P22" s="145">
        <v>7</v>
      </c>
      <c r="Q22" s="62">
        <v>8</v>
      </c>
      <c r="R22" s="60"/>
      <c r="S22" s="61"/>
      <c r="T22" s="61"/>
      <c r="U22" s="61"/>
      <c r="V22" s="61"/>
      <c r="W22" s="145">
        <v>0</v>
      </c>
      <c r="X22" s="62">
        <v>1</v>
      </c>
      <c r="Y22" s="60"/>
      <c r="Z22" s="61"/>
      <c r="AA22" s="61"/>
      <c r="AB22" s="145"/>
      <c r="AC22" s="61"/>
      <c r="AD22" s="152">
        <v>32</v>
      </c>
      <c r="AE22" s="152">
        <v>32</v>
      </c>
      <c r="AF22" s="270"/>
      <c r="AG22" s="65"/>
      <c r="AH22" s="65"/>
      <c r="AI22" s="65"/>
      <c r="AJ22" s="65"/>
      <c r="AK22" s="196">
        <v>28670</v>
      </c>
      <c r="AL22" s="66">
        <v>27758</v>
      </c>
      <c r="AM22" s="270"/>
      <c r="AN22" s="65"/>
      <c r="AO22" s="65"/>
      <c r="AP22" s="65"/>
      <c r="AQ22" s="65"/>
      <c r="AR22" s="196">
        <v>1036</v>
      </c>
      <c r="AS22" s="66">
        <v>772</v>
      </c>
      <c r="AT22" s="276"/>
      <c r="AU22" s="67"/>
      <c r="AV22" s="67"/>
      <c r="AW22" s="67"/>
      <c r="AX22" s="67"/>
      <c r="AY22" s="190">
        <f t="shared" si="5"/>
        <v>3.6135333100802233E-2</v>
      </c>
      <c r="AZ22" s="68">
        <f t="shared" si="6"/>
        <v>2.7811802003026156E-2</v>
      </c>
      <c r="BA22" s="276" t="s">
        <v>226</v>
      </c>
      <c r="BB22" s="69"/>
      <c r="BC22" s="69"/>
      <c r="BD22" s="69"/>
      <c r="BE22" s="69"/>
      <c r="BF22" s="199"/>
      <c r="BG22" s="70"/>
      <c r="BH22" s="60" t="s">
        <v>226</v>
      </c>
      <c r="BI22" s="71"/>
      <c r="BJ22" s="71"/>
      <c r="BK22" s="71"/>
      <c r="BL22" s="71"/>
      <c r="BM22" s="200"/>
      <c r="BN22" s="72">
        <f t="shared" si="8"/>
        <v>-0.83235310977760779</v>
      </c>
      <c r="BO22" s="276"/>
      <c r="BP22" s="67"/>
      <c r="BQ22" s="67"/>
      <c r="BR22" s="190">
        <f>W22/P22</f>
        <v>0</v>
      </c>
      <c r="BS22" s="190">
        <f>X22/Q22</f>
        <v>0.125</v>
      </c>
      <c r="BT22" s="73">
        <f t="shared" si="24"/>
        <v>0</v>
      </c>
      <c r="BU22" s="73">
        <f>(Q22-P22)/P22</f>
        <v>0.14285714285714285</v>
      </c>
    </row>
    <row r="23" spans="1:73" x14ac:dyDescent="0.25">
      <c r="A23" s="15">
        <v>14</v>
      </c>
      <c r="B23" s="74" t="s">
        <v>10</v>
      </c>
      <c r="C23" s="246"/>
      <c r="D23" s="75"/>
      <c r="E23" s="75"/>
      <c r="F23" s="146"/>
      <c r="G23" s="76"/>
      <c r="H23" s="246"/>
      <c r="I23" s="75"/>
      <c r="J23" s="75"/>
      <c r="K23" s="146"/>
      <c r="L23" s="76"/>
      <c r="M23" s="246"/>
      <c r="N23" s="75"/>
      <c r="O23" s="75"/>
      <c r="P23" s="146"/>
      <c r="Q23" s="76"/>
      <c r="R23" s="246"/>
      <c r="S23" s="75"/>
      <c r="T23" s="75"/>
      <c r="U23" s="75"/>
      <c r="V23" s="75"/>
      <c r="W23" s="146"/>
      <c r="X23" s="76"/>
      <c r="Y23" s="246"/>
      <c r="Z23" s="75"/>
      <c r="AA23" s="75"/>
      <c r="AB23" s="146"/>
      <c r="AC23" s="75"/>
      <c r="AD23" s="258"/>
      <c r="AE23" s="160"/>
      <c r="AF23" s="271"/>
      <c r="AG23" s="77"/>
      <c r="AH23" s="77"/>
      <c r="AI23" s="77"/>
      <c r="AJ23" s="77"/>
      <c r="AK23" s="265"/>
      <c r="AL23" s="78"/>
      <c r="AM23" s="271"/>
      <c r="AN23" s="77"/>
      <c r="AO23" s="77"/>
      <c r="AP23" s="77"/>
      <c r="AQ23" s="77"/>
      <c r="AR23" s="265"/>
      <c r="AS23" s="78"/>
      <c r="AT23" s="277"/>
      <c r="AU23" s="79"/>
      <c r="AV23" s="79"/>
      <c r="AW23" s="79"/>
      <c r="AX23" s="79"/>
      <c r="AY23" s="274"/>
      <c r="AZ23" s="80"/>
      <c r="BA23" s="277" t="s">
        <v>226</v>
      </c>
      <c r="BB23" s="81"/>
      <c r="BC23" s="81"/>
      <c r="BD23" s="81"/>
      <c r="BE23" s="81"/>
      <c r="BF23" s="282"/>
      <c r="BG23" s="82"/>
      <c r="BH23" s="246" t="s">
        <v>226</v>
      </c>
      <c r="BI23" s="83"/>
      <c r="BJ23" s="83"/>
      <c r="BK23" s="83"/>
      <c r="BL23" s="83"/>
      <c r="BM23" s="286"/>
      <c r="BN23" s="84"/>
      <c r="BO23" s="277"/>
      <c r="BP23" s="79"/>
      <c r="BQ23" s="79"/>
      <c r="BR23" s="274"/>
      <c r="BS23" s="274"/>
      <c r="BT23" s="419"/>
      <c r="BU23" s="419"/>
    </row>
    <row r="24" spans="1:73" s="9" customFormat="1" x14ac:dyDescent="0.25">
      <c r="A24" s="12">
        <v>15</v>
      </c>
      <c r="B24" s="17" t="s">
        <v>287</v>
      </c>
      <c r="C24" s="2">
        <v>0</v>
      </c>
      <c r="D24" s="3">
        <v>0</v>
      </c>
      <c r="E24" s="3">
        <v>0</v>
      </c>
      <c r="F24" s="144">
        <v>0</v>
      </c>
      <c r="G24" s="4">
        <v>0</v>
      </c>
      <c r="H24" s="2">
        <v>2800</v>
      </c>
      <c r="I24" s="3">
        <v>2800</v>
      </c>
      <c r="J24" s="3">
        <v>2800</v>
      </c>
      <c r="K24" s="144">
        <v>2300</v>
      </c>
      <c r="L24" s="4">
        <v>2300</v>
      </c>
      <c r="M24" s="2">
        <v>355</v>
      </c>
      <c r="N24" s="3">
        <v>736</v>
      </c>
      <c r="O24" s="3">
        <v>902</v>
      </c>
      <c r="P24" s="144">
        <v>476</v>
      </c>
      <c r="Q24" s="4">
        <v>800</v>
      </c>
      <c r="R24" s="2">
        <v>44</v>
      </c>
      <c r="S24" s="3">
        <v>21</v>
      </c>
      <c r="T24" s="3">
        <v>29</v>
      </c>
      <c r="U24" s="3">
        <v>77</v>
      </c>
      <c r="V24" s="3">
        <v>83</v>
      </c>
      <c r="W24" s="144">
        <v>82</v>
      </c>
      <c r="X24" s="4">
        <v>425</v>
      </c>
      <c r="Y24" s="5">
        <f>(20.28+18.27)/2</f>
        <v>19.274999999999999</v>
      </c>
      <c r="Z24" s="49">
        <f>(18.27+24.24)/2</f>
        <v>21.254999999999999</v>
      </c>
      <c r="AA24" s="3">
        <v>24.24</v>
      </c>
      <c r="AB24" s="144">
        <f>(24.24+29.78)/2</f>
        <v>27.009999999999998</v>
      </c>
      <c r="AC24" s="3">
        <v>29.78</v>
      </c>
      <c r="AD24" s="144">
        <v>29.78</v>
      </c>
      <c r="AE24" s="4">
        <v>34</v>
      </c>
      <c r="AF24" s="19">
        <v>394091</v>
      </c>
      <c r="AG24" s="20">
        <v>386750</v>
      </c>
      <c r="AH24" s="20">
        <v>530846</v>
      </c>
      <c r="AI24" s="20">
        <v>646958</v>
      </c>
      <c r="AJ24" s="20">
        <v>686842</v>
      </c>
      <c r="AK24" s="210">
        <v>694187.72</v>
      </c>
      <c r="AL24" s="21">
        <v>635660</v>
      </c>
      <c r="AM24" s="19">
        <v>18822</v>
      </c>
      <c r="AN24" s="20">
        <v>27733</v>
      </c>
      <c r="AO24" s="20">
        <v>40640</v>
      </c>
      <c r="AP24" s="20">
        <v>151617</v>
      </c>
      <c r="AQ24" s="20">
        <v>99639</v>
      </c>
      <c r="AR24" s="210">
        <v>71511.11</v>
      </c>
      <c r="AS24" s="21">
        <v>1361.44</v>
      </c>
      <c r="AT24" s="50">
        <f t="shared" ref="AT24:AT103" si="26">AM24/AF24</f>
        <v>4.7760542615791782E-2</v>
      </c>
      <c r="AU24" s="51">
        <f t="shared" ref="AU24:AU103" si="27">AN24/AG24</f>
        <v>7.1707821590174525E-2</v>
      </c>
      <c r="AV24" s="51">
        <f t="shared" ref="AV24:AV103" si="28">AO24/AH24</f>
        <v>7.6557042908866224E-2</v>
      </c>
      <c r="AW24" s="51">
        <f t="shared" ref="AW24:AW103" si="29">AP24/AI24</f>
        <v>0.2343536983853666</v>
      </c>
      <c r="AX24" s="51">
        <f t="shared" ref="AX24:AX103" si="30">AQ24/AJ24</f>
        <v>0.14506829809475832</v>
      </c>
      <c r="AY24" s="211">
        <f t="shared" si="5"/>
        <v>0.10301408097509994</v>
      </c>
      <c r="AZ24" s="52">
        <f t="shared" si="6"/>
        <v>2.1417739042884562E-3</v>
      </c>
      <c r="BA24" s="50" t="s">
        <v>226</v>
      </c>
      <c r="BB24" s="53">
        <f t="shared" si="9"/>
        <v>2.3947278974382744</v>
      </c>
      <c r="BC24" s="53">
        <f t="shared" si="10"/>
        <v>2.8796500293074443</v>
      </c>
      <c r="BD24" s="53">
        <f t="shared" si="11"/>
        <v>18.659315576957482</v>
      </c>
      <c r="BE24" s="53">
        <f t="shared" ref="BE24:BE29" si="31">(AX24-$AT24)*100</f>
        <v>9.7307755478966538</v>
      </c>
      <c r="BF24" s="212">
        <f t="shared" si="12"/>
        <v>5.5253538359308161</v>
      </c>
      <c r="BG24" s="54">
        <f t="shared" si="23"/>
        <v>-4.5618768711503321</v>
      </c>
      <c r="BH24" s="2" t="s">
        <v>226</v>
      </c>
      <c r="BI24" s="55">
        <f t="shared" si="13"/>
        <v>2.3947278974382744</v>
      </c>
      <c r="BJ24" s="55">
        <f t="shared" si="14"/>
        <v>0.48492213186916988</v>
      </c>
      <c r="BK24" s="55">
        <f t="shared" si="7"/>
        <v>15.779665547650037</v>
      </c>
      <c r="BL24" s="55">
        <f t="shared" ref="BL24:BL32" si="32">(AX24-AW24)*100</f>
        <v>-8.9285400290608266</v>
      </c>
      <c r="BM24" s="213">
        <f t="shared" si="15"/>
        <v>-4.2054217119658386</v>
      </c>
      <c r="BN24" s="56">
        <f t="shared" si="8"/>
        <v>-10.087230707081149</v>
      </c>
      <c r="BO24" s="50">
        <f>T24/M24</f>
        <v>8.1690140845070425E-2</v>
      </c>
      <c r="BP24" s="51">
        <f>U24/N24</f>
        <v>0.10461956521739131</v>
      </c>
      <c r="BQ24" s="51">
        <f>V24/O24</f>
        <v>9.2017738359201767E-2</v>
      </c>
      <c r="BR24" s="211">
        <f>W24/P24</f>
        <v>0.17226890756302521</v>
      </c>
      <c r="BS24" s="211">
        <f>X24/Q24</f>
        <v>0.53125</v>
      </c>
      <c r="BT24" s="57">
        <f t="shared" si="24"/>
        <v>0.14170584284754864</v>
      </c>
      <c r="BU24" s="57">
        <f>(Q24-P24)/P24</f>
        <v>0.68067226890756305</v>
      </c>
    </row>
    <row r="25" spans="1:73" s="11" customFormat="1" x14ac:dyDescent="0.25">
      <c r="A25" s="10"/>
      <c r="B25" s="33" t="s">
        <v>235</v>
      </c>
      <c r="C25" s="34">
        <v>1</v>
      </c>
      <c r="D25" s="35">
        <v>1</v>
      </c>
      <c r="E25" s="35">
        <v>1</v>
      </c>
      <c r="F25" s="93"/>
      <c r="G25" s="36"/>
      <c r="H25" s="34">
        <v>17</v>
      </c>
      <c r="I25" s="35">
        <v>17</v>
      </c>
      <c r="J25" s="35">
        <v>17</v>
      </c>
      <c r="K25" s="93"/>
      <c r="L25" s="36"/>
      <c r="M25" s="34">
        <v>0</v>
      </c>
      <c r="N25" s="35">
        <v>0</v>
      </c>
      <c r="O25" s="35">
        <v>1</v>
      </c>
      <c r="P25" s="93"/>
      <c r="Q25" s="36"/>
      <c r="R25" s="34">
        <v>0</v>
      </c>
      <c r="S25" s="35">
        <v>0</v>
      </c>
      <c r="T25" s="35">
        <v>0</v>
      </c>
      <c r="U25" s="35">
        <v>0</v>
      </c>
      <c r="V25" s="35">
        <v>0</v>
      </c>
      <c r="W25" s="93"/>
      <c r="X25" s="36"/>
      <c r="Y25" s="34">
        <v>21.8</v>
      </c>
      <c r="Z25" s="35">
        <v>23.06</v>
      </c>
      <c r="AA25" s="35">
        <v>23.27</v>
      </c>
      <c r="AB25" s="93">
        <v>22.77</v>
      </c>
      <c r="AC25" s="35">
        <v>22.77</v>
      </c>
      <c r="AD25" s="154"/>
      <c r="AE25" s="90"/>
      <c r="AF25" s="38">
        <v>5236</v>
      </c>
      <c r="AG25" s="39">
        <v>5428</v>
      </c>
      <c r="AH25" s="39">
        <v>5436</v>
      </c>
      <c r="AI25" s="39">
        <v>5914</v>
      </c>
      <c r="AJ25" s="39">
        <v>5871</v>
      </c>
      <c r="AK25" s="182"/>
      <c r="AL25" s="40"/>
      <c r="AM25" s="38">
        <v>0</v>
      </c>
      <c r="AN25" s="39">
        <v>0</v>
      </c>
      <c r="AO25" s="39">
        <v>0</v>
      </c>
      <c r="AP25" s="39">
        <v>0</v>
      </c>
      <c r="AQ25" s="39">
        <v>231</v>
      </c>
      <c r="AR25" s="182"/>
      <c r="AS25" s="40"/>
      <c r="AT25" s="41">
        <f t="shared" si="26"/>
        <v>0</v>
      </c>
      <c r="AU25" s="42">
        <f t="shared" si="27"/>
        <v>0</v>
      </c>
      <c r="AV25" s="42">
        <f t="shared" si="28"/>
        <v>0</v>
      </c>
      <c r="AW25" s="42">
        <f t="shared" si="29"/>
        <v>0</v>
      </c>
      <c r="AX25" s="42">
        <f t="shared" si="30"/>
        <v>3.9345937659683188E-2</v>
      </c>
      <c r="AY25" s="183"/>
      <c r="AZ25" s="43"/>
      <c r="BA25" s="41" t="s">
        <v>226</v>
      </c>
      <c r="BB25" s="44">
        <f t="shared" si="9"/>
        <v>0</v>
      </c>
      <c r="BC25" s="44">
        <f t="shared" si="10"/>
        <v>0</v>
      </c>
      <c r="BD25" s="44">
        <f t="shared" si="11"/>
        <v>0</v>
      </c>
      <c r="BE25" s="44">
        <f t="shared" si="31"/>
        <v>3.9345937659683186</v>
      </c>
      <c r="BF25" s="184"/>
      <c r="BG25" s="45"/>
      <c r="BH25" s="34" t="s">
        <v>226</v>
      </c>
      <c r="BI25" s="46">
        <f t="shared" si="13"/>
        <v>0</v>
      </c>
      <c r="BJ25" s="46">
        <f t="shared" si="14"/>
        <v>0</v>
      </c>
      <c r="BK25" s="46">
        <f t="shared" si="7"/>
        <v>0</v>
      </c>
      <c r="BL25" s="46">
        <f t="shared" si="32"/>
        <v>3.9345937659683186</v>
      </c>
      <c r="BM25" s="185"/>
      <c r="BN25" s="47"/>
      <c r="BO25" s="41"/>
      <c r="BP25" s="42"/>
      <c r="BQ25" s="42">
        <f>V25/O25</f>
        <v>0</v>
      </c>
      <c r="BR25" s="183"/>
      <c r="BS25" s="183"/>
      <c r="BT25" s="48"/>
      <c r="BU25" s="48"/>
    </row>
    <row r="26" spans="1:73" s="11" customFormat="1" x14ac:dyDescent="0.25">
      <c r="A26" s="10"/>
      <c r="B26" s="33" t="s">
        <v>236</v>
      </c>
      <c r="C26" s="34">
        <v>3</v>
      </c>
      <c r="D26" s="35">
        <v>3</v>
      </c>
      <c r="E26" s="35">
        <v>3</v>
      </c>
      <c r="F26" s="93"/>
      <c r="G26" s="36"/>
      <c r="H26" s="34">
        <v>41</v>
      </c>
      <c r="I26" s="35">
        <v>42</v>
      </c>
      <c r="J26" s="35">
        <v>44</v>
      </c>
      <c r="K26" s="93"/>
      <c r="L26" s="36"/>
      <c r="M26" s="34"/>
      <c r="N26" s="35"/>
      <c r="O26" s="35"/>
      <c r="P26" s="93"/>
      <c r="Q26" s="36"/>
      <c r="R26" s="34">
        <v>0</v>
      </c>
      <c r="S26" s="35">
        <v>0</v>
      </c>
      <c r="T26" s="35">
        <v>0</v>
      </c>
      <c r="U26" s="35">
        <v>0</v>
      </c>
      <c r="V26" s="35">
        <v>0</v>
      </c>
      <c r="W26" s="93"/>
      <c r="X26" s="36"/>
      <c r="Y26" s="34" t="s">
        <v>115</v>
      </c>
      <c r="Z26" s="35" t="s">
        <v>230</v>
      </c>
      <c r="AA26" s="35" t="s">
        <v>230</v>
      </c>
      <c r="AB26" s="93" t="s">
        <v>230</v>
      </c>
      <c r="AC26" s="35" t="s">
        <v>230</v>
      </c>
      <c r="AD26" s="154"/>
      <c r="AE26" s="90"/>
      <c r="AF26" s="38">
        <v>4567</v>
      </c>
      <c r="AG26" s="39">
        <v>6562</v>
      </c>
      <c r="AH26" s="39">
        <v>7867</v>
      </c>
      <c r="AI26" s="39">
        <v>7800</v>
      </c>
      <c r="AJ26" s="39">
        <v>7782</v>
      </c>
      <c r="AK26" s="182"/>
      <c r="AL26" s="40"/>
      <c r="AM26" s="38">
        <v>632</v>
      </c>
      <c r="AN26" s="39">
        <v>427</v>
      </c>
      <c r="AO26" s="39">
        <v>726</v>
      </c>
      <c r="AP26" s="39">
        <v>582</v>
      </c>
      <c r="AQ26" s="39">
        <v>1095</v>
      </c>
      <c r="AR26" s="182"/>
      <c r="AS26" s="40"/>
      <c r="AT26" s="41">
        <f t="shared" si="26"/>
        <v>0.13838405955769653</v>
      </c>
      <c r="AU26" s="42">
        <f t="shared" si="27"/>
        <v>6.5071624504724174E-2</v>
      </c>
      <c r="AV26" s="42">
        <f t="shared" si="28"/>
        <v>9.2284225244693027E-2</v>
      </c>
      <c r="AW26" s="42">
        <f t="shared" si="29"/>
        <v>7.4615384615384611E-2</v>
      </c>
      <c r="AX26" s="42">
        <f t="shared" si="30"/>
        <v>0.14070932922127988</v>
      </c>
      <c r="AY26" s="183"/>
      <c r="AZ26" s="43"/>
      <c r="BA26" s="41" t="s">
        <v>226</v>
      </c>
      <c r="BB26" s="44">
        <f t="shared" si="9"/>
        <v>-7.3312435052972358</v>
      </c>
      <c r="BC26" s="44">
        <f t="shared" si="10"/>
        <v>-4.6099834313003507</v>
      </c>
      <c r="BD26" s="44">
        <f t="shared" si="11"/>
        <v>-6.3768674942311918</v>
      </c>
      <c r="BE26" s="44">
        <f t="shared" si="31"/>
        <v>0.23252696635833459</v>
      </c>
      <c r="BF26" s="184"/>
      <c r="BG26" s="45"/>
      <c r="BH26" s="34" t="s">
        <v>226</v>
      </c>
      <c r="BI26" s="46">
        <f t="shared" si="13"/>
        <v>-7.3312435052972358</v>
      </c>
      <c r="BJ26" s="46">
        <f t="shared" si="14"/>
        <v>2.7212600739968855</v>
      </c>
      <c r="BK26" s="46">
        <f t="shared" si="7"/>
        <v>-1.7668840629308415</v>
      </c>
      <c r="BL26" s="46">
        <f t="shared" si="32"/>
        <v>6.6093944605895265</v>
      </c>
      <c r="BM26" s="185"/>
      <c r="BN26" s="47"/>
      <c r="BO26" s="41"/>
      <c r="BP26" s="42"/>
      <c r="BQ26" s="42"/>
      <c r="BR26" s="183"/>
      <c r="BS26" s="183"/>
      <c r="BT26" s="48"/>
      <c r="BU26" s="48"/>
    </row>
    <row r="27" spans="1:73" s="9" customFormat="1" x14ac:dyDescent="0.25">
      <c r="A27" s="12">
        <v>16</v>
      </c>
      <c r="B27" s="17" t="s">
        <v>218</v>
      </c>
      <c r="C27" s="2">
        <v>15</v>
      </c>
      <c r="D27" s="3">
        <v>15</v>
      </c>
      <c r="E27" s="3">
        <v>15</v>
      </c>
      <c r="F27" s="144"/>
      <c r="G27" s="4">
        <v>15</v>
      </c>
      <c r="H27" s="2">
        <v>2090</v>
      </c>
      <c r="I27" s="3">
        <v>2090</v>
      </c>
      <c r="J27" s="3">
        <v>2090</v>
      </c>
      <c r="K27" s="144"/>
      <c r="L27" s="4">
        <v>2210</v>
      </c>
      <c r="M27" s="2">
        <v>96</v>
      </c>
      <c r="N27" s="3">
        <v>210</v>
      </c>
      <c r="O27" s="3">
        <v>1</v>
      </c>
      <c r="P27" s="144"/>
      <c r="Q27" s="4">
        <v>80</v>
      </c>
      <c r="R27" s="2">
        <v>0</v>
      </c>
      <c r="S27" s="3">
        <v>0</v>
      </c>
      <c r="T27" s="3">
        <v>39</v>
      </c>
      <c r="U27" s="3">
        <v>91</v>
      </c>
      <c r="V27" s="3"/>
      <c r="W27" s="144"/>
      <c r="X27" s="4">
        <v>16</v>
      </c>
      <c r="Y27" s="2">
        <v>21.19</v>
      </c>
      <c r="Z27" s="3">
        <v>26.45</v>
      </c>
      <c r="AA27" s="3">
        <v>39.06</v>
      </c>
      <c r="AB27" s="144">
        <v>43.34</v>
      </c>
      <c r="AC27" s="3">
        <v>42.83</v>
      </c>
      <c r="AD27" s="153"/>
      <c r="AE27" s="86">
        <v>41.63</v>
      </c>
      <c r="AF27" s="19">
        <v>55635</v>
      </c>
      <c r="AG27" s="20">
        <v>507084</v>
      </c>
      <c r="AH27" s="20">
        <v>790532</v>
      </c>
      <c r="AI27" s="20">
        <v>995776</v>
      </c>
      <c r="AJ27" s="20">
        <v>791699</v>
      </c>
      <c r="AK27" s="210"/>
      <c r="AL27" s="21">
        <v>755865</v>
      </c>
      <c r="AM27" s="19">
        <v>-5497</v>
      </c>
      <c r="AN27" s="20">
        <v>-3750</v>
      </c>
      <c r="AO27" s="20">
        <v>34700</v>
      </c>
      <c r="AP27" s="20">
        <v>66499</v>
      </c>
      <c r="AQ27" s="20">
        <v>68111</v>
      </c>
      <c r="AR27" s="210"/>
      <c r="AS27" s="21">
        <v>65241</v>
      </c>
      <c r="AT27" s="50">
        <f t="shared" si="26"/>
        <v>-9.8804709265749982E-2</v>
      </c>
      <c r="AU27" s="51">
        <f t="shared" si="27"/>
        <v>-7.3952244598528057E-3</v>
      </c>
      <c r="AV27" s="51">
        <f t="shared" si="28"/>
        <v>4.3894491304589819E-2</v>
      </c>
      <c r="AW27" s="51">
        <f t="shared" si="29"/>
        <v>6.6781083295841634E-2</v>
      </c>
      <c r="AX27" s="51">
        <f t="shared" si="30"/>
        <v>8.6031433663551427E-2</v>
      </c>
      <c r="AY27" s="211"/>
      <c r="AZ27" s="52">
        <f t="shared" si="6"/>
        <v>8.6313032089063518E-2</v>
      </c>
      <c r="BA27" s="50" t="s">
        <v>226</v>
      </c>
      <c r="BB27" s="53">
        <f t="shared" si="9"/>
        <v>9.140948480589719</v>
      </c>
      <c r="BC27" s="53">
        <f t="shared" si="10"/>
        <v>14.26992005703398</v>
      </c>
      <c r="BD27" s="53">
        <f t="shared" si="11"/>
        <v>16.558579256159163</v>
      </c>
      <c r="BE27" s="53">
        <f t="shared" si="31"/>
        <v>18.483614292930138</v>
      </c>
      <c r="BF27" s="212"/>
      <c r="BG27" s="54">
        <f t="shared" si="23"/>
        <v>18.511774135481353</v>
      </c>
      <c r="BH27" s="2" t="s">
        <v>226</v>
      </c>
      <c r="BI27" s="55">
        <f t="shared" si="13"/>
        <v>9.140948480589719</v>
      </c>
      <c r="BJ27" s="55">
        <f t="shared" si="14"/>
        <v>5.1289715764442629</v>
      </c>
      <c r="BK27" s="55">
        <f t="shared" si="7"/>
        <v>2.2886591991251812</v>
      </c>
      <c r="BL27" s="55">
        <f t="shared" si="32"/>
        <v>1.9250350367709792</v>
      </c>
      <c r="BM27" s="213"/>
      <c r="BN27" s="56">
        <f t="shared" si="8"/>
        <v>8.6313032089063526</v>
      </c>
      <c r="BO27" s="50">
        <f t="shared" ref="BO27:BP29" si="33">T27/M27</f>
        <v>0.40625</v>
      </c>
      <c r="BP27" s="51">
        <f t="shared" si="33"/>
        <v>0.43333333333333335</v>
      </c>
      <c r="BQ27" s="51"/>
      <c r="BR27" s="211"/>
      <c r="BS27" s="211">
        <f>X27/Q27</f>
        <v>0.2</v>
      </c>
      <c r="BT27" s="57"/>
      <c r="BU27" s="57"/>
    </row>
    <row r="28" spans="1:73" s="14" customFormat="1" x14ac:dyDescent="0.25">
      <c r="A28" s="13"/>
      <c r="B28" s="59" t="s">
        <v>120</v>
      </c>
      <c r="C28" s="60">
        <v>0</v>
      </c>
      <c r="D28" s="61">
        <v>0</v>
      </c>
      <c r="E28" s="61">
        <v>0</v>
      </c>
      <c r="F28" s="145"/>
      <c r="G28" s="62">
        <v>11</v>
      </c>
      <c r="H28" s="60">
        <v>101</v>
      </c>
      <c r="I28" s="61">
        <v>101</v>
      </c>
      <c r="J28" s="61">
        <v>101</v>
      </c>
      <c r="K28" s="145"/>
      <c r="L28" s="62">
        <v>112</v>
      </c>
      <c r="M28" s="60">
        <v>8</v>
      </c>
      <c r="N28" s="61">
        <v>16</v>
      </c>
      <c r="O28" s="61">
        <v>24</v>
      </c>
      <c r="P28" s="145"/>
      <c r="Q28" s="62">
        <v>31</v>
      </c>
      <c r="R28" s="60">
        <v>0</v>
      </c>
      <c r="S28" s="61">
        <v>2</v>
      </c>
      <c r="T28" s="61">
        <v>1</v>
      </c>
      <c r="U28" s="61">
        <v>3</v>
      </c>
      <c r="V28" s="61">
        <v>4</v>
      </c>
      <c r="W28" s="145"/>
      <c r="X28" s="62">
        <v>17</v>
      </c>
      <c r="Y28" s="60">
        <v>18.3</v>
      </c>
      <c r="Z28" s="61">
        <v>20.49</v>
      </c>
      <c r="AA28" s="61">
        <v>27.98</v>
      </c>
      <c r="AB28" s="145">
        <v>28.04</v>
      </c>
      <c r="AC28" s="61">
        <v>28.46</v>
      </c>
      <c r="AD28" s="152"/>
      <c r="AE28" s="64">
        <v>40.090000000000003</v>
      </c>
      <c r="AF28" s="270">
        <v>24630</v>
      </c>
      <c r="AG28" s="65">
        <v>27006</v>
      </c>
      <c r="AH28" s="65">
        <v>37549</v>
      </c>
      <c r="AI28" s="65">
        <v>38723</v>
      </c>
      <c r="AJ28" s="65">
        <v>39928</v>
      </c>
      <c r="AK28" s="196"/>
      <c r="AL28" s="66">
        <v>44880</v>
      </c>
      <c r="AM28" s="270">
        <v>535</v>
      </c>
      <c r="AN28" s="65">
        <v>212</v>
      </c>
      <c r="AO28" s="65">
        <v>1258</v>
      </c>
      <c r="AP28" s="65">
        <v>945</v>
      </c>
      <c r="AQ28" s="65">
        <v>3410</v>
      </c>
      <c r="AR28" s="196"/>
      <c r="AS28" s="66">
        <v>12827</v>
      </c>
      <c r="AT28" s="276">
        <f t="shared" si="26"/>
        <v>2.1721477872513197E-2</v>
      </c>
      <c r="AU28" s="67">
        <f t="shared" si="27"/>
        <v>7.8501073835443979E-3</v>
      </c>
      <c r="AV28" s="67">
        <f t="shared" si="28"/>
        <v>3.3502889557644674E-2</v>
      </c>
      <c r="AW28" s="67">
        <f t="shared" si="29"/>
        <v>2.4404100921932702E-2</v>
      </c>
      <c r="AX28" s="67">
        <f t="shared" si="30"/>
        <v>8.5403726708074529E-2</v>
      </c>
      <c r="AY28" s="190"/>
      <c r="AZ28" s="68">
        <f t="shared" si="6"/>
        <v>0.28580659536541891</v>
      </c>
      <c r="BA28" s="276" t="s">
        <v>226</v>
      </c>
      <c r="BB28" s="69">
        <f t="shared" si="9"/>
        <v>-1.3871370488968799</v>
      </c>
      <c r="BC28" s="69">
        <f t="shared" si="10"/>
        <v>1.1781411685131478</v>
      </c>
      <c r="BD28" s="69">
        <f t="shared" si="11"/>
        <v>0.26826230494195052</v>
      </c>
      <c r="BE28" s="69">
        <f t="shared" si="31"/>
        <v>6.3682248835561337</v>
      </c>
      <c r="BF28" s="199"/>
      <c r="BG28" s="70">
        <f t="shared" si="23"/>
        <v>26.408511749290568</v>
      </c>
      <c r="BH28" s="60" t="s">
        <v>226</v>
      </c>
      <c r="BI28" s="71">
        <f t="shared" si="13"/>
        <v>-1.3871370488968799</v>
      </c>
      <c r="BJ28" s="71">
        <f t="shared" si="14"/>
        <v>2.5652782174100275</v>
      </c>
      <c r="BK28" s="71">
        <f t="shared" si="7"/>
        <v>-0.90987886357119729</v>
      </c>
      <c r="BL28" s="71">
        <f t="shared" si="32"/>
        <v>6.0999625786141829</v>
      </c>
      <c r="BM28" s="200"/>
      <c r="BN28" s="72"/>
      <c r="BO28" s="276">
        <f t="shared" si="33"/>
        <v>0.125</v>
      </c>
      <c r="BP28" s="67">
        <f t="shared" si="33"/>
        <v>0.1875</v>
      </c>
      <c r="BQ28" s="67">
        <f>V28/O28</f>
        <v>0.16666666666666666</v>
      </c>
      <c r="BR28" s="190"/>
      <c r="BS28" s="190">
        <f>X28/Q28</f>
        <v>0.54838709677419351</v>
      </c>
      <c r="BT28" s="73"/>
      <c r="BU28" s="73"/>
    </row>
    <row r="29" spans="1:73" s="14" customFormat="1" x14ac:dyDescent="0.25">
      <c r="A29" s="13"/>
      <c r="B29" s="59" t="s">
        <v>121</v>
      </c>
      <c r="C29" s="60">
        <v>0</v>
      </c>
      <c r="D29" s="61">
        <v>0</v>
      </c>
      <c r="E29" s="61">
        <v>0</v>
      </c>
      <c r="F29" s="145"/>
      <c r="G29" s="62"/>
      <c r="H29" s="60">
        <v>113</v>
      </c>
      <c r="I29" s="61">
        <v>113</v>
      </c>
      <c r="J29" s="61">
        <v>113</v>
      </c>
      <c r="K29" s="145"/>
      <c r="L29" s="62"/>
      <c r="M29" s="60">
        <v>95</v>
      </c>
      <c r="N29" s="61">
        <v>109</v>
      </c>
      <c r="O29" s="61">
        <v>43</v>
      </c>
      <c r="P29" s="145"/>
      <c r="Q29" s="62"/>
      <c r="R29" s="60">
        <v>0</v>
      </c>
      <c r="S29" s="61">
        <v>0</v>
      </c>
      <c r="T29" s="61">
        <v>0</v>
      </c>
      <c r="U29" s="61">
        <v>0</v>
      </c>
      <c r="V29" s="61">
        <v>0</v>
      </c>
      <c r="W29" s="145"/>
      <c r="X29" s="62"/>
      <c r="Y29" s="60" t="s">
        <v>81</v>
      </c>
      <c r="Z29" s="61" t="s">
        <v>117</v>
      </c>
      <c r="AA29" s="61" t="s">
        <v>118</v>
      </c>
      <c r="AB29" s="145" t="s">
        <v>119</v>
      </c>
      <c r="AC29" s="61" t="s">
        <v>119</v>
      </c>
      <c r="AD29" s="152"/>
      <c r="AE29" s="64"/>
      <c r="AF29" s="270">
        <v>16752.849999999999</v>
      </c>
      <c r="AG29" s="65">
        <v>16741.27</v>
      </c>
      <c r="AH29" s="65">
        <v>26310.32</v>
      </c>
      <c r="AI29" s="65">
        <v>42346.75</v>
      </c>
      <c r="AJ29" s="65">
        <v>47993.54</v>
      </c>
      <c r="AK29" s="196"/>
      <c r="AL29" s="66"/>
      <c r="AM29" s="270">
        <v>5327.95</v>
      </c>
      <c r="AN29" s="65">
        <v>5266.85</v>
      </c>
      <c r="AO29" s="65">
        <v>8193.6299999999992</v>
      </c>
      <c r="AP29" s="65">
        <v>11036.15</v>
      </c>
      <c r="AQ29" s="65">
        <v>18816.3</v>
      </c>
      <c r="AR29" s="196"/>
      <c r="AS29" s="66"/>
      <c r="AT29" s="276">
        <f t="shared" si="26"/>
        <v>0.31803245417943815</v>
      </c>
      <c r="AU29" s="67">
        <f t="shared" si="27"/>
        <v>0.3146027750582841</v>
      </c>
      <c r="AV29" s="67">
        <f t="shared" si="28"/>
        <v>0.31142266608691949</v>
      </c>
      <c r="AW29" s="67">
        <f t="shared" si="29"/>
        <v>0.26061386056781216</v>
      </c>
      <c r="AX29" s="67">
        <f t="shared" si="30"/>
        <v>0.39205901460904946</v>
      </c>
      <c r="AY29" s="190"/>
      <c r="AZ29" s="68"/>
      <c r="BA29" s="276" t="s">
        <v>226</v>
      </c>
      <c r="BB29" s="69">
        <f t="shared" si="9"/>
        <v>-0.342967912115405</v>
      </c>
      <c r="BC29" s="69">
        <f t="shared" si="10"/>
        <v>-0.66097880925186647</v>
      </c>
      <c r="BD29" s="69">
        <f t="shared" si="11"/>
        <v>-5.7418593611625992</v>
      </c>
      <c r="BE29" s="69">
        <f t="shared" si="31"/>
        <v>7.402656042961131</v>
      </c>
      <c r="BF29" s="199"/>
      <c r="BG29" s="70"/>
      <c r="BH29" s="60" t="s">
        <v>226</v>
      </c>
      <c r="BI29" s="71">
        <f t="shared" si="13"/>
        <v>-0.342967912115405</v>
      </c>
      <c r="BJ29" s="71">
        <f t="shared" si="14"/>
        <v>-0.31801089713646147</v>
      </c>
      <c r="BK29" s="71">
        <f t="shared" si="7"/>
        <v>-5.0808805519107327</v>
      </c>
      <c r="BL29" s="71">
        <f t="shared" si="32"/>
        <v>13.14451540412373</v>
      </c>
      <c r="BM29" s="200"/>
      <c r="BN29" s="72"/>
      <c r="BO29" s="276">
        <f t="shared" si="33"/>
        <v>0</v>
      </c>
      <c r="BP29" s="67">
        <f t="shared" si="33"/>
        <v>0</v>
      </c>
      <c r="BQ29" s="67">
        <f>V29/O29</f>
        <v>0</v>
      </c>
      <c r="BR29" s="190"/>
      <c r="BS29" s="190"/>
      <c r="BT29" s="73"/>
      <c r="BU29" s="73"/>
    </row>
    <row r="30" spans="1:73" s="14" customFormat="1" x14ac:dyDescent="0.25">
      <c r="A30" s="13">
        <v>17</v>
      </c>
      <c r="B30" s="59" t="s">
        <v>11</v>
      </c>
      <c r="C30" s="60">
        <v>7</v>
      </c>
      <c r="D30" s="61">
        <v>7</v>
      </c>
      <c r="E30" s="61">
        <v>7</v>
      </c>
      <c r="F30" s="145">
        <v>0</v>
      </c>
      <c r="G30" s="62">
        <v>0</v>
      </c>
      <c r="H30" s="60">
        <v>88</v>
      </c>
      <c r="I30" s="61">
        <v>88</v>
      </c>
      <c r="J30" s="61">
        <v>88</v>
      </c>
      <c r="K30" s="145">
        <v>97</v>
      </c>
      <c r="L30" s="62">
        <v>98</v>
      </c>
      <c r="M30" s="60">
        <v>0</v>
      </c>
      <c r="N30" s="61">
        <v>30</v>
      </c>
      <c r="O30" s="61">
        <v>48</v>
      </c>
      <c r="P30" s="145">
        <v>40</v>
      </c>
      <c r="Q30" s="62">
        <v>38</v>
      </c>
      <c r="R30" s="60">
        <v>0</v>
      </c>
      <c r="S30" s="61">
        <v>0</v>
      </c>
      <c r="T30" s="61">
        <v>0</v>
      </c>
      <c r="U30" s="61">
        <v>0</v>
      </c>
      <c r="V30" s="61">
        <v>0</v>
      </c>
      <c r="W30" s="145">
        <v>0</v>
      </c>
      <c r="X30" s="62">
        <v>0</v>
      </c>
      <c r="Y30" s="60"/>
      <c r="Z30" s="61">
        <v>29.94</v>
      </c>
      <c r="AA30" s="63">
        <v>31</v>
      </c>
      <c r="AB30" s="152">
        <v>31</v>
      </c>
      <c r="AC30" s="63">
        <v>31</v>
      </c>
      <c r="AD30" s="152">
        <v>34.72</v>
      </c>
      <c r="AE30" s="64">
        <v>39.99</v>
      </c>
      <c r="AF30" s="270"/>
      <c r="AG30" s="65"/>
      <c r="AH30" s="65">
        <v>19858</v>
      </c>
      <c r="AI30" s="65">
        <v>23801</v>
      </c>
      <c r="AJ30" s="65">
        <v>23693</v>
      </c>
      <c r="AK30" s="196">
        <v>21663.25</v>
      </c>
      <c r="AL30" s="66">
        <v>27541.18</v>
      </c>
      <c r="AM30" s="270"/>
      <c r="AN30" s="65"/>
      <c r="AO30" s="65">
        <v>1499</v>
      </c>
      <c r="AP30" s="65">
        <v>3647</v>
      </c>
      <c r="AQ30" s="65">
        <v>6003</v>
      </c>
      <c r="AR30" s="196">
        <v>2992.3</v>
      </c>
      <c r="AS30" s="66">
        <v>2035.03</v>
      </c>
      <c r="AT30" s="276"/>
      <c r="AU30" s="67"/>
      <c r="AV30" s="67">
        <f t="shared" si="28"/>
        <v>7.5485950246751934E-2</v>
      </c>
      <c r="AW30" s="67">
        <f t="shared" si="29"/>
        <v>0.1532288559304231</v>
      </c>
      <c r="AX30" s="67">
        <f t="shared" si="30"/>
        <v>0.25336597307221542</v>
      </c>
      <c r="AY30" s="190">
        <f t="shared" si="5"/>
        <v>0.13812793555906894</v>
      </c>
      <c r="AZ30" s="68">
        <f t="shared" si="6"/>
        <v>7.3890443328862451E-2</v>
      </c>
      <c r="BA30" s="276" t="s">
        <v>226</v>
      </c>
      <c r="BB30" s="69"/>
      <c r="BC30" s="69"/>
      <c r="BD30" s="69"/>
      <c r="BE30" s="69"/>
      <c r="BF30" s="199">
        <f t="shared" si="12"/>
        <v>13.812793555906893</v>
      </c>
      <c r="BG30" s="70">
        <f t="shared" si="23"/>
        <v>7.389044332886245</v>
      </c>
      <c r="BH30" s="60" t="s">
        <v>226</v>
      </c>
      <c r="BI30" s="71"/>
      <c r="BJ30" s="71"/>
      <c r="BK30" s="71">
        <f t="shared" si="7"/>
        <v>7.7742905683671166</v>
      </c>
      <c r="BL30" s="71">
        <f t="shared" si="32"/>
        <v>10.013711714179232</v>
      </c>
      <c r="BM30" s="200">
        <f t="shared" si="15"/>
        <v>-11.523803751314649</v>
      </c>
      <c r="BN30" s="72">
        <f t="shared" si="8"/>
        <v>-6.423749223020649</v>
      </c>
      <c r="BO30" s="276"/>
      <c r="BP30" s="67">
        <f>U30/N30</f>
        <v>0</v>
      </c>
      <c r="BQ30" s="67">
        <f>V30/O30</f>
        <v>0</v>
      </c>
      <c r="BR30" s="190">
        <f>W30/P30</f>
        <v>0</v>
      </c>
      <c r="BS30" s="190">
        <f>X30/Q30</f>
        <v>0</v>
      </c>
      <c r="BT30" s="73">
        <f t="shared" si="24"/>
        <v>0.15178571428571438</v>
      </c>
      <c r="BU30" s="73">
        <f>(Q30-P30)/P30</f>
        <v>-0.05</v>
      </c>
    </row>
    <row r="31" spans="1:73" s="9" customFormat="1" x14ac:dyDescent="0.25">
      <c r="A31" s="12">
        <v>18</v>
      </c>
      <c r="B31" s="17" t="s">
        <v>288</v>
      </c>
      <c r="C31" s="2">
        <v>46</v>
      </c>
      <c r="D31" s="3">
        <v>46</v>
      </c>
      <c r="E31" s="3">
        <v>46</v>
      </c>
      <c r="F31" s="144"/>
      <c r="G31" s="4">
        <v>41</v>
      </c>
      <c r="H31" s="2">
        <v>8</v>
      </c>
      <c r="I31" s="3">
        <v>8</v>
      </c>
      <c r="J31" s="3">
        <v>8</v>
      </c>
      <c r="K31" s="144"/>
      <c r="L31" s="4">
        <v>21</v>
      </c>
      <c r="M31" s="2">
        <v>1504</v>
      </c>
      <c r="N31" s="3">
        <v>662</v>
      </c>
      <c r="O31" s="3">
        <v>662</v>
      </c>
      <c r="P31" s="144"/>
      <c r="Q31" s="4">
        <v>9</v>
      </c>
      <c r="R31" s="2">
        <v>0</v>
      </c>
      <c r="S31" s="3">
        <v>0</v>
      </c>
      <c r="T31" s="3">
        <v>0</v>
      </c>
      <c r="U31" s="3">
        <v>1</v>
      </c>
      <c r="V31" s="3">
        <v>1</v>
      </c>
      <c r="W31" s="144"/>
      <c r="X31" s="4">
        <v>0</v>
      </c>
      <c r="Y31" s="2">
        <v>21.45</v>
      </c>
      <c r="Z31" s="49">
        <v>29.8</v>
      </c>
      <c r="AA31" s="49">
        <f>(29.8+33.55+39.48)/3</f>
        <v>34.276666666666664</v>
      </c>
      <c r="AB31" s="144">
        <f>(39.48+34.27)/2</f>
        <v>36.875</v>
      </c>
      <c r="AC31" s="3">
        <v>34.270000000000003</v>
      </c>
      <c r="AD31" s="153"/>
      <c r="AE31" s="86">
        <v>28.64</v>
      </c>
      <c r="AF31" s="19">
        <v>269522</v>
      </c>
      <c r="AG31" s="20">
        <v>263797</v>
      </c>
      <c r="AH31" s="20">
        <v>315646</v>
      </c>
      <c r="AI31" s="20">
        <v>414764</v>
      </c>
      <c r="AJ31" s="20">
        <v>377433</v>
      </c>
      <c r="AK31" s="210"/>
      <c r="AL31" s="21">
        <v>231380.59</v>
      </c>
      <c r="AM31" s="19">
        <v>40428</v>
      </c>
      <c r="AN31" s="20">
        <v>55871</v>
      </c>
      <c r="AO31" s="20">
        <v>157294</v>
      </c>
      <c r="AP31" s="20">
        <v>89874</v>
      </c>
      <c r="AQ31" s="20">
        <v>84716</v>
      </c>
      <c r="AR31" s="210"/>
      <c r="AS31" s="21">
        <v>12110.46</v>
      </c>
      <c r="AT31" s="50">
        <f t="shared" si="26"/>
        <v>0.14999888691832206</v>
      </c>
      <c r="AU31" s="51">
        <f t="shared" si="27"/>
        <v>0.21179543360993491</v>
      </c>
      <c r="AV31" s="51">
        <f t="shared" si="28"/>
        <v>0.49832407190333478</v>
      </c>
      <c r="AW31" s="51">
        <f t="shared" si="29"/>
        <v>0.21668707988157121</v>
      </c>
      <c r="AX31" s="51">
        <f t="shared" si="30"/>
        <v>0.22445308173901063</v>
      </c>
      <c r="AY31" s="211"/>
      <c r="AZ31" s="52">
        <f t="shared" si="6"/>
        <v>5.2339999651656172E-2</v>
      </c>
      <c r="BA31" s="50" t="s">
        <v>226</v>
      </c>
      <c r="BB31" s="53">
        <f t="shared" si="9"/>
        <v>6.1796546691612857</v>
      </c>
      <c r="BC31" s="53">
        <f t="shared" si="10"/>
        <v>34.832518498501273</v>
      </c>
      <c r="BD31" s="53">
        <f t="shared" si="11"/>
        <v>6.6688192963249158</v>
      </c>
      <c r="BE31" s="53">
        <f>(AX31-$AT31)*100</f>
        <v>7.4454194820688571</v>
      </c>
      <c r="BF31" s="212"/>
      <c r="BG31" s="54">
        <f t="shared" si="23"/>
        <v>-9.7658887266665886</v>
      </c>
      <c r="BH31" s="2" t="s">
        <v>226</v>
      </c>
      <c r="BI31" s="55">
        <f t="shared" si="13"/>
        <v>6.1796546691612857</v>
      </c>
      <c r="BJ31" s="55">
        <f t="shared" si="14"/>
        <v>28.652863829339985</v>
      </c>
      <c r="BK31" s="55">
        <f t="shared" si="7"/>
        <v>-28.163699202176357</v>
      </c>
      <c r="BL31" s="55">
        <f t="shared" si="32"/>
        <v>0.77660018574394196</v>
      </c>
      <c r="BM31" s="213"/>
      <c r="BN31" s="56"/>
      <c r="BO31" s="50">
        <f>T31/M31</f>
        <v>0</v>
      </c>
      <c r="BP31" s="51">
        <f>U31/N31</f>
        <v>1.5105740181268882E-3</v>
      </c>
      <c r="BQ31" s="51">
        <f>V31/O31</f>
        <v>1.5105740181268882E-3</v>
      </c>
      <c r="BR31" s="211"/>
      <c r="BS31" s="211">
        <f>X31/Q31</f>
        <v>0</v>
      </c>
      <c r="BT31" s="57"/>
      <c r="BU31" s="57"/>
    </row>
    <row r="32" spans="1:73" s="14" customFormat="1" x14ac:dyDescent="0.25">
      <c r="A32" s="13">
        <v>19</v>
      </c>
      <c r="B32" s="59" t="s">
        <v>122</v>
      </c>
      <c r="C32" s="60">
        <v>1</v>
      </c>
      <c r="D32" s="61">
        <v>2</v>
      </c>
      <c r="E32" s="61">
        <v>4</v>
      </c>
      <c r="F32" s="145">
        <v>14</v>
      </c>
      <c r="G32" s="62">
        <v>10</v>
      </c>
      <c r="H32" s="60">
        <v>315</v>
      </c>
      <c r="I32" s="61">
        <v>291</v>
      </c>
      <c r="J32" s="61">
        <v>239</v>
      </c>
      <c r="K32" s="145">
        <v>0</v>
      </c>
      <c r="L32" s="62">
        <v>195</v>
      </c>
      <c r="M32" s="60">
        <v>82</v>
      </c>
      <c r="N32" s="61">
        <v>110</v>
      </c>
      <c r="O32" s="61">
        <v>129</v>
      </c>
      <c r="P32" s="145">
        <v>158</v>
      </c>
      <c r="Q32" s="62">
        <v>79</v>
      </c>
      <c r="R32" s="60">
        <v>16</v>
      </c>
      <c r="S32" s="61">
        <v>12</v>
      </c>
      <c r="T32" s="61">
        <v>11</v>
      </c>
      <c r="U32" s="61">
        <v>9</v>
      </c>
      <c r="V32" s="61">
        <v>47</v>
      </c>
      <c r="W32" s="145">
        <v>41</v>
      </c>
      <c r="X32" s="62">
        <v>24</v>
      </c>
      <c r="Y32" s="60">
        <v>26.34</v>
      </c>
      <c r="Z32" s="61">
        <v>30.39</v>
      </c>
      <c r="AA32" s="61">
        <v>41.84</v>
      </c>
      <c r="AB32" s="145">
        <v>44.24</v>
      </c>
      <c r="AC32" s="63">
        <v>39.299999999999997</v>
      </c>
      <c r="AD32" s="152">
        <v>43.26</v>
      </c>
      <c r="AE32" s="64">
        <v>49.46</v>
      </c>
      <c r="AF32" s="270">
        <v>98343</v>
      </c>
      <c r="AG32" s="65">
        <v>93506</v>
      </c>
      <c r="AH32" s="65">
        <v>126654</v>
      </c>
      <c r="AI32" s="65">
        <v>164436</v>
      </c>
      <c r="AJ32" s="65">
        <v>112565</v>
      </c>
      <c r="AK32" s="196">
        <v>109090</v>
      </c>
      <c r="AL32" s="66">
        <v>155983.44</v>
      </c>
      <c r="AM32" s="270">
        <v>6831</v>
      </c>
      <c r="AN32" s="65">
        <v>5649</v>
      </c>
      <c r="AO32" s="65">
        <v>12173</v>
      </c>
      <c r="AP32" s="65">
        <v>21712</v>
      </c>
      <c r="AQ32" s="65">
        <v>29615</v>
      </c>
      <c r="AR32" s="196">
        <v>40929</v>
      </c>
      <c r="AS32" s="66">
        <v>44231.07</v>
      </c>
      <c r="AT32" s="276">
        <f t="shared" si="26"/>
        <v>6.9460968243799756E-2</v>
      </c>
      <c r="AU32" s="67">
        <f t="shared" si="27"/>
        <v>6.0413235514298551E-2</v>
      </c>
      <c r="AV32" s="67">
        <f t="shared" si="28"/>
        <v>9.6112242803227693E-2</v>
      </c>
      <c r="AW32" s="67">
        <f t="shared" si="29"/>
        <v>0.13203921282444234</v>
      </c>
      <c r="AX32" s="67">
        <f t="shared" si="30"/>
        <v>0.26309243548172168</v>
      </c>
      <c r="AY32" s="190">
        <f t="shared" si="5"/>
        <v>0.37518562654688792</v>
      </c>
      <c r="AZ32" s="68">
        <f t="shared" si="6"/>
        <v>0.28356260126074923</v>
      </c>
      <c r="BA32" s="276" t="s">
        <v>226</v>
      </c>
      <c r="BB32" s="69">
        <f t="shared" si="9"/>
        <v>-0.90477327295012056</v>
      </c>
      <c r="BC32" s="69">
        <f t="shared" si="10"/>
        <v>2.6651274559427938</v>
      </c>
      <c r="BD32" s="69">
        <f t="shared" si="11"/>
        <v>6.2578244580642579</v>
      </c>
      <c r="BE32" s="69">
        <f>(AX32-$AT32)*100</f>
        <v>19.363146723792191</v>
      </c>
      <c r="BF32" s="199">
        <f t="shared" si="12"/>
        <v>30.572465830308815</v>
      </c>
      <c r="BG32" s="70">
        <f t="shared" si="23"/>
        <v>21.410163301694947</v>
      </c>
      <c r="BH32" s="60" t="s">
        <v>226</v>
      </c>
      <c r="BI32" s="71">
        <f t="shared" si="13"/>
        <v>-0.90477327295012056</v>
      </c>
      <c r="BJ32" s="71">
        <f t="shared" si="14"/>
        <v>3.5699007288929141</v>
      </c>
      <c r="BK32" s="71">
        <f t="shared" si="7"/>
        <v>3.5926970021214641</v>
      </c>
      <c r="BL32" s="71">
        <f t="shared" si="32"/>
        <v>13.105322265727933</v>
      </c>
      <c r="BM32" s="200">
        <f t="shared" si="15"/>
        <v>11.209319106516624</v>
      </c>
      <c r="BN32" s="72">
        <f t="shared" si="8"/>
        <v>-9.1623025286138695</v>
      </c>
      <c r="BO32" s="276">
        <f>T32/M32</f>
        <v>0.13414634146341464</v>
      </c>
      <c r="BP32" s="67">
        <f>U32/N32</f>
        <v>8.1818181818181818E-2</v>
      </c>
      <c r="BQ32" s="67">
        <f>V32/O32</f>
        <v>0.36434108527131781</v>
      </c>
      <c r="BR32" s="190">
        <f>W32/P32</f>
        <v>0.25949367088607594</v>
      </c>
      <c r="BS32" s="190">
        <f>X32/Q32</f>
        <v>0.30379746835443039</v>
      </c>
      <c r="BT32" s="73">
        <f t="shared" si="24"/>
        <v>0.14331946370781329</v>
      </c>
      <c r="BU32" s="73">
        <f>(Q32-P32)/P32</f>
        <v>-0.5</v>
      </c>
    </row>
    <row r="33" spans="1:73" s="14" customFormat="1" x14ac:dyDescent="0.25">
      <c r="A33" s="13"/>
      <c r="B33" s="59" t="s">
        <v>324</v>
      </c>
      <c r="C33" s="60"/>
      <c r="D33" s="61"/>
      <c r="E33" s="61"/>
      <c r="F33" s="145">
        <v>0</v>
      </c>
      <c r="G33" s="62">
        <v>0</v>
      </c>
      <c r="H33" s="60"/>
      <c r="I33" s="61"/>
      <c r="J33" s="61"/>
      <c r="K33" s="145">
        <v>72</v>
      </c>
      <c r="L33" s="62">
        <v>116</v>
      </c>
      <c r="M33" s="60"/>
      <c r="N33" s="61"/>
      <c r="O33" s="61"/>
      <c r="P33" s="145">
        <v>12</v>
      </c>
      <c r="Q33" s="62">
        <v>33</v>
      </c>
      <c r="R33" s="60"/>
      <c r="S33" s="61"/>
      <c r="T33" s="61"/>
      <c r="U33" s="61"/>
      <c r="V33" s="61"/>
      <c r="W33" s="145">
        <v>3</v>
      </c>
      <c r="X33" s="62">
        <v>0</v>
      </c>
      <c r="Y33" s="60"/>
      <c r="Z33" s="61"/>
      <c r="AA33" s="61"/>
      <c r="AB33" s="145"/>
      <c r="AC33" s="63"/>
      <c r="AD33" s="152">
        <v>38.78</v>
      </c>
      <c r="AE33" s="64">
        <v>34.9</v>
      </c>
      <c r="AF33" s="270"/>
      <c r="AG33" s="65"/>
      <c r="AH33" s="65"/>
      <c r="AI33" s="65"/>
      <c r="AJ33" s="65"/>
      <c r="AK33" s="196">
        <v>22404</v>
      </c>
      <c r="AL33" s="66">
        <v>79577</v>
      </c>
      <c r="AM33" s="270"/>
      <c r="AN33" s="65"/>
      <c r="AO33" s="65"/>
      <c r="AP33" s="65"/>
      <c r="AQ33" s="65"/>
      <c r="AR33" s="196">
        <v>5049</v>
      </c>
      <c r="AS33" s="66">
        <v>7888</v>
      </c>
      <c r="AT33" s="276"/>
      <c r="AU33" s="67"/>
      <c r="AV33" s="67"/>
      <c r="AW33" s="67"/>
      <c r="AX33" s="67"/>
      <c r="AY33" s="190">
        <f t="shared" si="5"/>
        <v>0.22536154258168184</v>
      </c>
      <c r="AZ33" s="68">
        <f t="shared" si="6"/>
        <v>9.912411877803888E-2</v>
      </c>
      <c r="BA33" s="276"/>
      <c r="BB33" s="69"/>
      <c r="BC33" s="69"/>
      <c r="BD33" s="69"/>
      <c r="BE33" s="69"/>
      <c r="BF33" s="199"/>
      <c r="BG33" s="70"/>
      <c r="BH33" s="60"/>
      <c r="BI33" s="71"/>
      <c r="BJ33" s="71"/>
      <c r="BK33" s="71"/>
      <c r="BL33" s="71"/>
      <c r="BM33" s="200"/>
      <c r="BN33" s="72">
        <f t="shared" si="8"/>
        <v>-12.623742380364295</v>
      </c>
      <c r="BO33" s="276"/>
      <c r="BP33" s="67"/>
      <c r="BQ33" s="67"/>
      <c r="BR33" s="190">
        <f>W33/P33</f>
        <v>0.25</v>
      </c>
      <c r="BS33" s="190">
        <f>X33/Q33</f>
        <v>0</v>
      </c>
      <c r="BT33" s="73">
        <f t="shared" si="24"/>
        <v>-0.10005157297576077</v>
      </c>
      <c r="BU33" s="73">
        <f>(Q33-P33)/P33</f>
        <v>1.75</v>
      </c>
    </row>
    <row r="34" spans="1:73" s="9" customFormat="1" x14ac:dyDescent="0.25">
      <c r="A34" s="12">
        <v>20</v>
      </c>
      <c r="B34" s="17" t="s">
        <v>12</v>
      </c>
      <c r="C34" s="2">
        <v>0</v>
      </c>
      <c r="D34" s="3">
        <v>0</v>
      </c>
      <c r="E34" s="3">
        <v>0</v>
      </c>
      <c r="F34" s="144"/>
      <c r="G34" s="4">
        <v>38</v>
      </c>
      <c r="H34" s="2">
        <v>761</v>
      </c>
      <c r="I34" s="3">
        <v>761</v>
      </c>
      <c r="J34" s="3">
        <v>761</v>
      </c>
      <c r="K34" s="144"/>
      <c r="L34" s="4">
        <v>335</v>
      </c>
      <c r="M34" s="2">
        <v>125</v>
      </c>
      <c r="N34" s="3">
        <v>168</v>
      </c>
      <c r="O34" s="3">
        <v>170</v>
      </c>
      <c r="P34" s="144"/>
      <c r="Q34" s="4">
        <v>25</v>
      </c>
      <c r="R34" s="2">
        <v>4</v>
      </c>
      <c r="S34" s="3">
        <v>12</v>
      </c>
      <c r="T34" s="3">
        <v>12</v>
      </c>
      <c r="U34" s="3">
        <v>12</v>
      </c>
      <c r="V34" s="3">
        <v>8</v>
      </c>
      <c r="W34" s="144"/>
      <c r="X34" s="4">
        <v>5</v>
      </c>
      <c r="Y34" s="5">
        <f>AVERAGE((19.3+21.16+24.03+24.73+22.93+23.54)/6)</f>
        <v>22.614999999999998</v>
      </c>
      <c r="Z34" s="3"/>
      <c r="AA34" s="3"/>
      <c r="AB34" s="144"/>
      <c r="AC34" s="3"/>
      <c r="AD34" s="153"/>
      <c r="AE34" s="86">
        <v>46.31</v>
      </c>
      <c r="AF34" s="19">
        <v>183837.1</v>
      </c>
      <c r="AG34" s="20">
        <v>191445.79</v>
      </c>
      <c r="AH34" s="20">
        <v>254662.06</v>
      </c>
      <c r="AI34" s="20">
        <v>365236.23</v>
      </c>
      <c r="AJ34" s="20">
        <v>250314.25</v>
      </c>
      <c r="AK34" s="210"/>
      <c r="AL34" s="21">
        <v>303883.34000000003</v>
      </c>
      <c r="AM34" s="19">
        <v>2029</v>
      </c>
      <c r="AN34" s="20">
        <v>0</v>
      </c>
      <c r="AO34" s="20">
        <v>4819.7</v>
      </c>
      <c r="AP34" s="20">
        <v>8197.66</v>
      </c>
      <c r="AQ34" s="20">
        <v>8316.2199999999993</v>
      </c>
      <c r="AR34" s="210"/>
      <c r="AS34" s="21">
        <v>23395.15</v>
      </c>
      <c r="AT34" s="50">
        <f t="shared" si="26"/>
        <v>1.1036945208556923E-2</v>
      </c>
      <c r="AU34" s="51">
        <f t="shared" si="27"/>
        <v>0</v>
      </c>
      <c r="AV34" s="51">
        <f t="shared" si="28"/>
        <v>1.8925865910296963E-2</v>
      </c>
      <c r="AW34" s="51">
        <f t="shared" si="29"/>
        <v>2.2444816057815512E-2</v>
      </c>
      <c r="AX34" s="51">
        <f t="shared" si="30"/>
        <v>3.3223118539995225E-2</v>
      </c>
      <c r="AY34" s="211"/>
      <c r="AZ34" s="52">
        <f t="shared" si="6"/>
        <v>7.6987274129605127E-2</v>
      </c>
      <c r="BA34" s="50" t="s">
        <v>226</v>
      </c>
      <c r="BB34" s="53">
        <f t="shared" si="9"/>
        <v>-1.1036945208556923</v>
      </c>
      <c r="BC34" s="53">
        <f t="shared" si="10"/>
        <v>0.78889207017400398</v>
      </c>
      <c r="BD34" s="53">
        <f t="shared" si="11"/>
        <v>1.140787084925859</v>
      </c>
      <c r="BE34" s="53">
        <f>(AX34-$AT34)*100</f>
        <v>2.2186173331438304</v>
      </c>
      <c r="BF34" s="212"/>
      <c r="BG34" s="54">
        <f t="shared" si="23"/>
        <v>6.59503289210482</v>
      </c>
      <c r="BH34" s="2" t="s">
        <v>226</v>
      </c>
      <c r="BI34" s="55">
        <f t="shared" si="13"/>
        <v>-1.1036945208556923</v>
      </c>
      <c r="BJ34" s="55">
        <f t="shared" si="14"/>
        <v>1.8925865910296964</v>
      </c>
      <c r="BK34" s="55">
        <f t="shared" si="7"/>
        <v>0.35189501475185492</v>
      </c>
      <c r="BL34" s="55">
        <f>(AX34-AW34)*100</f>
        <v>1.0778302482179714</v>
      </c>
      <c r="BM34" s="213"/>
      <c r="BN34" s="56"/>
      <c r="BO34" s="50">
        <f>T34/M34</f>
        <v>9.6000000000000002E-2</v>
      </c>
      <c r="BP34" s="51">
        <f>U34/N34</f>
        <v>7.1428571428571425E-2</v>
      </c>
      <c r="BQ34" s="51">
        <f>V34/O34</f>
        <v>4.7058823529411764E-2</v>
      </c>
      <c r="BR34" s="211"/>
      <c r="BS34" s="211">
        <f>X34/Q34</f>
        <v>0.2</v>
      </c>
      <c r="BT34" s="57"/>
      <c r="BU34" s="57"/>
    </row>
    <row r="35" spans="1:73" s="9" customFormat="1" x14ac:dyDescent="0.25">
      <c r="A35" s="12">
        <v>21</v>
      </c>
      <c r="B35" s="17" t="s">
        <v>401</v>
      </c>
      <c r="C35" s="2"/>
      <c r="D35" s="3"/>
      <c r="E35" s="3"/>
      <c r="F35" s="144"/>
      <c r="G35" s="4">
        <v>116</v>
      </c>
      <c r="H35" s="2"/>
      <c r="I35" s="3"/>
      <c r="J35" s="3"/>
      <c r="K35" s="144"/>
      <c r="L35" s="4">
        <v>0</v>
      </c>
      <c r="M35" s="2"/>
      <c r="N35" s="3"/>
      <c r="O35" s="3"/>
      <c r="P35" s="144"/>
      <c r="Q35" s="4">
        <v>788</v>
      </c>
      <c r="R35" s="2"/>
      <c r="S35" s="3"/>
      <c r="T35" s="3"/>
      <c r="U35" s="3"/>
      <c r="V35" s="3"/>
      <c r="W35" s="144"/>
      <c r="X35" s="4">
        <v>95</v>
      </c>
      <c r="Y35" s="2"/>
      <c r="Z35" s="3"/>
      <c r="AA35" s="3"/>
      <c r="AB35" s="144"/>
      <c r="AC35" s="3"/>
      <c r="AD35" s="153"/>
      <c r="AE35" s="86">
        <v>53.41</v>
      </c>
      <c r="AF35" s="19"/>
      <c r="AG35" s="20"/>
      <c r="AH35" s="20"/>
      <c r="AI35" s="20"/>
      <c r="AJ35" s="20"/>
      <c r="AK35" s="210"/>
      <c r="AL35" s="21">
        <v>1886930.44</v>
      </c>
      <c r="AM35" s="19"/>
      <c r="AN35" s="20"/>
      <c r="AO35" s="20"/>
      <c r="AP35" s="20"/>
      <c r="AQ35" s="20"/>
      <c r="AR35" s="210"/>
      <c r="AS35" s="21">
        <v>288124.93</v>
      </c>
      <c r="AT35" s="50"/>
      <c r="AU35" s="51"/>
      <c r="AV35" s="51"/>
      <c r="AW35" s="51"/>
      <c r="AX35" s="51"/>
      <c r="AY35" s="211"/>
      <c r="AZ35" s="52">
        <f t="shared" si="6"/>
        <v>0.15269504582267485</v>
      </c>
      <c r="BA35" s="50" t="s">
        <v>226</v>
      </c>
      <c r="BB35" s="53"/>
      <c r="BC35" s="53"/>
      <c r="BD35" s="53"/>
      <c r="BE35" s="53"/>
      <c r="BF35" s="212"/>
      <c r="BG35" s="54"/>
      <c r="BH35" s="2" t="s">
        <v>226</v>
      </c>
      <c r="BI35" s="55"/>
      <c r="BJ35" s="55"/>
      <c r="BK35" s="55"/>
      <c r="BL35" s="55"/>
      <c r="BM35" s="213"/>
      <c r="BN35" s="56"/>
      <c r="BO35" s="50"/>
      <c r="BP35" s="51"/>
      <c r="BQ35" s="51"/>
      <c r="BR35" s="211"/>
      <c r="BS35" s="211">
        <f>X35/Q35</f>
        <v>0.12055837563451777</v>
      </c>
      <c r="BT35" s="57"/>
      <c r="BU35" s="57"/>
    </row>
    <row r="36" spans="1:73" s="22" customFormat="1" x14ac:dyDescent="0.25">
      <c r="A36" s="13"/>
      <c r="B36" s="59" t="s">
        <v>313</v>
      </c>
      <c r="C36" s="60">
        <v>0</v>
      </c>
      <c r="D36" s="61">
        <v>0</v>
      </c>
      <c r="E36" s="61">
        <v>0</v>
      </c>
      <c r="F36" s="145"/>
      <c r="G36" s="62"/>
      <c r="H36" s="60">
        <v>77</v>
      </c>
      <c r="I36" s="61">
        <v>77</v>
      </c>
      <c r="J36" s="61">
        <v>77</v>
      </c>
      <c r="K36" s="145"/>
      <c r="L36" s="62"/>
      <c r="M36" s="60">
        <v>17</v>
      </c>
      <c r="N36" s="61">
        <v>34</v>
      </c>
      <c r="O36" s="61">
        <v>44</v>
      </c>
      <c r="P36" s="145"/>
      <c r="Q36" s="62"/>
      <c r="R36" s="60">
        <v>0</v>
      </c>
      <c r="S36" s="61">
        <v>0</v>
      </c>
      <c r="T36" s="61">
        <v>0</v>
      </c>
      <c r="U36" s="61">
        <v>0</v>
      </c>
      <c r="V36" s="61">
        <v>0</v>
      </c>
      <c r="W36" s="145"/>
      <c r="X36" s="62"/>
      <c r="Y36" s="60"/>
      <c r="Z36" s="61"/>
      <c r="AA36" s="61"/>
      <c r="AB36" s="145"/>
      <c r="AC36" s="61"/>
      <c r="AD36" s="152"/>
      <c r="AE36" s="64"/>
      <c r="AF36" s="270">
        <v>14092</v>
      </c>
      <c r="AG36" s="65">
        <v>14092</v>
      </c>
      <c r="AH36" s="65">
        <v>14092</v>
      </c>
      <c r="AI36" s="65">
        <v>14092</v>
      </c>
      <c r="AJ36" s="65">
        <v>14092</v>
      </c>
      <c r="AK36" s="196"/>
      <c r="AL36" s="66"/>
      <c r="AM36" s="270">
        <v>3964</v>
      </c>
      <c r="AN36" s="65">
        <v>3521</v>
      </c>
      <c r="AO36" s="65">
        <v>3320</v>
      </c>
      <c r="AP36" s="65">
        <v>3982</v>
      </c>
      <c r="AQ36" s="65">
        <v>3642</v>
      </c>
      <c r="AR36" s="196"/>
      <c r="AS36" s="66"/>
      <c r="AT36" s="276">
        <f>AM36/AF36</f>
        <v>0.28129435140505249</v>
      </c>
      <c r="AU36" s="67">
        <f>AN36/AG36</f>
        <v>0.24985807550383196</v>
      </c>
      <c r="AV36" s="67">
        <f>AO36/AH36</f>
        <v>0.23559466363894407</v>
      </c>
      <c r="AW36" s="67">
        <f>AP36/AI36</f>
        <v>0.28257167187056487</v>
      </c>
      <c r="AX36" s="67">
        <f>AQ36/AJ36</f>
        <v>0.25844450752199832</v>
      </c>
      <c r="AY36" s="190"/>
      <c r="AZ36" s="68"/>
      <c r="BA36" s="276"/>
      <c r="BB36" s="69">
        <f>(AU36-$AT36)*100</f>
        <v>-3.143627590122053</v>
      </c>
      <c r="BC36" s="69">
        <f>(AV36-$AT36)*100</f>
        <v>-4.5699687766108417</v>
      </c>
      <c r="BD36" s="69">
        <f>(AW36-$AT36)*100</f>
        <v>0.12773204655123771</v>
      </c>
      <c r="BE36" s="69">
        <f>(AX36-$AT36)*100</f>
        <v>-2.2849843883054168</v>
      </c>
      <c r="BF36" s="199"/>
      <c r="BG36" s="70"/>
      <c r="BH36" s="60"/>
      <c r="BI36" s="71">
        <f>(AU36-AT36)*100</f>
        <v>-3.143627590122053</v>
      </c>
      <c r="BJ36" s="71">
        <f>(AV36-AU36)*100</f>
        <v>-1.4263411864887887</v>
      </c>
      <c r="BK36" s="71">
        <f>(AW36-AV36)*100</f>
        <v>4.6977008231620792</v>
      </c>
      <c r="BL36" s="71">
        <f>(AX36-AW36)*100</f>
        <v>-2.4127164348566543</v>
      </c>
      <c r="BM36" s="200"/>
      <c r="BN36" s="72"/>
      <c r="BO36" s="276">
        <f>T36/M36</f>
        <v>0</v>
      </c>
      <c r="BP36" s="67">
        <f>U36/N36</f>
        <v>0</v>
      </c>
      <c r="BQ36" s="67">
        <f>V36/O36</f>
        <v>0</v>
      </c>
      <c r="BR36" s="190"/>
      <c r="BS36" s="190"/>
      <c r="BT36" s="73"/>
      <c r="BU36" s="73"/>
    </row>
    <row r="37" spans="1:73" s="14" customFormat="1" x14ac:dyDescent="0.25">
      <c r="A37" s="13">
        <v>22</v>
      </c>
      <c r="B37" s="59" t="s">
        <v>13</v>
      </c>
      <c r="C37" s="60"/>
      <c r="D37" s="61"/>
      <c r="E37" s="61"/>
      <c r="F37" s="145">
        <v>0</v>
      </c>
      <c r="G37" s="62">
        <v>0</v>
      </c>
      <c r="H37" s="60"/>
      <c r="I37" s="61"/>
      <c r="J37" s="61"/>
      <c r="K37" s="145">
        <v>294</v>
      </c>
      <c r="L37" s="62">
        <v>275</v>
      </c>
      <c r="M37" s="60"/>
      <c r="N37" s="61"/>
      <c r="O37" s="61"/>
      <c r="P37" s="145">
        <v>98</v>
      </c>
      <c r="Q37" s="62">
        <v>89</v>
      </c>
      <c r="R37" s="60"/>
      <c r="S37" s="61"/>
      <c r="T37" s="61"/>
      <c r="U37" s="61"/>
      <c r="V37" s="61"/>
      <c r="W37" s="145">
        <v>9</v>
      </c>
      <c r="X37" s="62">
        <v>15</v>
      </c>
      <c r="Y37" s="60"/>
      <c r="Z37" s="61"/>
      <c r="AA37" s="61"/>
      <c r="AB37" s="145"/>
      <c r="AC37" s="61"/>
      <c r="AD37" s="152">
        <v>26.36</v>
      </c>
      <c r="AE37" s="152">
        <v>26.36</v>
      </c>
      <c r="AF37" s="270"/>
      <c r="AG37" s="65"/>
      <c r="AH37" s="65"/>
      <c r="AI37" s="65"/>
      <c r="AJ37" s="65"/>
      <c r="AK37" s="196">
        <v>87601</v>
      </c>
      <c r="AL37" s="66">
        <v>69602</v>
      </c>
      <c r="AM37" s="270"/>
      <c r="AN37" s="65"/>
      <c r="AO37" s="65"/>
      <c r="AP37" s="65"/>
      <c r="AQ37" s="65"/>
      <c r="AR37" s="196">
        <v>19994</v>
      </c>
      <c r="AS37" s="66">
        <v>20699</v>
      </c>
      <c r="AT37" s="276"/>
      <c r="AU37" s="67"/>
      <c r="AV37" s="67"/>
      <c r="AW37" s="67"/>
      <c r="AX37" s="67"/>
      <c r="AY37" s="190">
        <f t="shared" si="5"/>
        <v>0.22823940365977557</v>
      </c>
      <c r="AZ37" s="68">
        <f t="shared" si="6"/>
        <v>0.2973908795724261</v>
      </c>
      <c r="BA37" s="276" t="s">
        <v>226</v>
      </c>
      <c r="BB37" s="69"/>
      <c r="BC37" s="69"/>
      <c r="BD37" s="69"/>
      <c r="BE37" s="69"/>
      <c r="BF37" s="199"/>
      <c r="BG37" s="70"/>
      <c r="BH37" s="60" t="s">
        <v>226</v>
      </c>
      <c r="BI37" s="71"/>
      <c r="BJ37" s="71"/>
      <c r="BK37" s="71"/>
      <c r="BL37" s="71"/>
      <c r="BM37" s="200"/>
      <c r="BN37" s="72">
        <f t="shared" si="8"/>
        <v>6.9151475912650531</v>
      </c>
      <c r="BO37" s="276"/>
      <c r="BP37" s="67"/>
      <c r="BQ37" s="67"/>
      <c r="BR37" s="190">
        <f>W37/P37</f>
        <v>9.1836734693877556E-2</v>
      </c>
      <c r="BS37" s="190">
        <f>X37/Q37</f>
        <v>0.16853932584269662</v>
      </c>
      <c r="BT37" s="73">
        <f t="shared" si="24"/>
        <v>0</v>
      </c>
      <c r="BU37" s="73">
        <f>(Q37-P37)/P37</f>
        <v>-9.1836734693877556E-2</v>
      </c>
    </row>
    <row r="38" spans="1:73" x14ac:dyDescent="0.25">
      <c r="A38" s="15">
        <v>23</v>
      </c>
      <c r="B38" s="74" t="s">
        <v>14</v>
      </c>
      <c r="C38" s="246"/>
      <c r="D38" s="75"/>
      <c r="E38" s="75"/>
      <c r="F38" s="146"/>
      <c r="G38" s="76"/>
      <c r="H38" s="246"/>
      <c r="I38" s="75"/>
      <c r="J38" s="75"/>
      <c r="K38" s="146"/>
      <c r="L38" s="76"/>
      <c r="M38" s="246"/>
      <c r="N38" s="75"/>
      <c r="O38" s="75"/>
      <c r="P38" s="146"/>
      <c r="Q38" s="76"/>
      <c r="R38" s="246"/>
      <c r="S38" s="75"/>
      <c r="T38" s="75"/>
      <c r="U38" s="75"/>
      <c r="V38" s="75"/>
      <c r="W38" s="146"/>
      <c r="X38" s="76"/>
      <c r="Y38" s="246"/>
      <c r="Z38" s="75"/>
      <c r="AA38" s="75"/>
      <c r="AB38" s="146"/>
      <c r="AC38" s="75"/>
      <c r="AD38" s="258"/>
      <c r="AE38" s="160"/>
      <c r="AF38" s="271"/>
      <c r="AG38" s="77"/>
      <c r="AH38" s="77"/>
      <c r="AI38" s="77"/>
      <c r="AJ38" s="77"/>
      <c r="AK38" s="265"/>
      <c r="AL38" s="78"/>
      <c r="AM38" s="271"/>
      <c r="AN38" s="77"/>
      <c r="AO38" s="77"/>
      <c r="AP38" s="77"/>
      <c r="AQ38" s="77"/>
      <c r="AR38" s="265"/>
      <c r="AS38" s="78"/>
      <c r="AT38" s="277"/>
      <c r="AU38" s="79"/>
      <c r="AV38" s="79"/>
      <c r="AW38" s="79"/>
      <c r="AX38" s="79"/>
      <c r="AY38" s="274"/>
      <c r="AZ38" s="80"/>
      <c r="BA38" s="277" t="s">
        <v>226</v>
      </c>
      <c r="BB38" s="81"/>
      <c r="BC38" s="81"/>
      <c r="BD38" s="81"/>
      <c r="BE38" s="81"/>
      <c r="BF38" s="282"/>
      <c r="BG38" s="82"/>
      <c r="BH38" s="246" t="s">
        <v>226</v>
      </c>
      <c r="BI38" s="83"/>
      <c r="BJ38" s="83"/>
      <c r="BK38" s="83"/>
      <c r="BL38" s="83"/>
      <c r="BM38" s="286"/>
      <c r="BN38" s="84"/>
      <c r="BO38" s="277"/>
      <c r="BP38" s="79"/>
      <c r="BQ38" s="79"/>
      <c r="BR38" s="274"/>
      <c r="BS38" s="274"/>
      <c r="BT38" s="419"/>
      <c r="BU38" s="419"/>
    </row>
    <row r="39" spans="1:73" s="14" customFormat="1" x14ac:dyDescent="0.25">
      <c r="A39" s="13">
        <v>24</v>
      </c>
      <c r="B39" s="59" t="s">
        <v>123</v>
      </c>
      <c r="C39" s="60">
        <v>0</v>
      </c>
      <c r="D39" s="61">
        <v>0</v>
      </c>
      <c r="E39" s="61">
        <v>0</v>
      </c>
      <c r="F39" s="145">
        <v>0</v>
      </c>
      <c r="G39" s="62">
        <v>0</v>
      </c>
      <c r="H39" s="60">
        <v>131</v>
      </c>
      <c r="I39" s="61">
        <v>142</v>
      </c>
      <c r="J39" s="61">
        <v>142</v>
      </c>
      <c r="K39" s="145">
        <v>258</v>
      </c>
      <c r="L39" s="62">
        <v>381</v>
      </c>
      <c r="M39" s="60">
        <v>12</v>
      </c>
      <c r="N39" s="61">
        <v>12</v>
      </c>
      <c r="O39" s="61">
        <v>11</v>
      </c>
      <c r="P39" s="145">
        <v>18</v>
      </c>
      <c r="Q39" s="62">
        <v>19</v>
      </c>
      <c r="R39" s="60">
        <v>4</v>
      </c>
      <c r="S39" s="61">
        <v>4</v>
      </c>
      <c r="T39" s="61">
        <v>4</v>
      </c>
      <c r="U39" s="61">
        <v>0</v>
      </c>
      <c r="V39" s="61">
        <v>0</v>
      </c>
      <c r="W39" s="145">
        <v>5</v>
      </c>
      <c r="X39" s="62">
        <v>4</v>
      </c>
      <c r="Y39" s="60">
        <v>23.75</v>
      </c>
      <c r="Z39" s="61">
        <v>25.7</v>
      </c>
      <c r="AA39" s="61">
        <v>35.6</v>
      </c>
      <c r="AB39" s="145">
        <v>40.450000000000003</v>
      </c>
      <c r="AC39" s="61">
        <v>36.54</v>
      </c>
      <c r="AD39" s="152">
        <v>40.450000000000003</v>
      </c>
      <c r="AE39" s="64">
        <v>40.450000000000003</v>
      </c>
      <c r="AF39" s="270">
        <v>21599</v>
      </c>
      <c r="AG39" s="65">
        <v>27492</v>
      </c>
      <c r="AH39" s="65">
        <v>34843</v>
      </c>
      <c r="AI39" s="65">
        <v>42851</v>
      </c>
      <c r="AJ39" s="65">
        <v>43840</v>
      </c>
      <c r="AK39" s="196">
        <v>48727</v>
      </c>
      <c r="AL39" s="66">
        <v>59343</v>
      </c>
      <c r="AM39" s="270">
        <v>907</v>
      </c>
      <c r="AN39" s="65">
        <v>370</v>
      </c>
      <c r="AO39" s="65">
        <v>1311</v>
      </c>
      <c r="AP39" s="65">
        <v>3157</v>
      </c>
      <c r="AQ39" s="65">
        <v>3377</v>
      </c>
      <c r="AR39" s="196">
        <v>1879</v>
      </c>
      <c r="AS39" s="66">
        <v>6005</v>
      </c>
      <c r="AT39" s="276">
        <f t="shared" si="26"/>
        <v>4.1992684846520675E-2</v>
      </c>
      <c r="AU39" s="67">
        <f t="shared" si="27"/>
        <v>1.3458460643096174E-2</v>
      </c>
      <c r="AV39" s="67">
        <f t="shared" si="28"/>
        <v>3.7625921992939758E-2</v>
      </c>
      <c r="AW39" s="67">
        <f t="shared" si="29"/>
        <v>7.3673893258033654E-2</v>
      </c>
      <c r="AX39" s="67">
        <f t="shared" si="30"/>
        <v>7.7030109489051091E-2</v>
      </c>
      <c r="AY39" s="190">
        <f t="shared" si="5"/>
        <v>3.8561782995054077E-2</v>
      </c>
      <c r="AZ39" s="68">
        <f t="shared" si="6"/>
        <v>0.10119137893264581</v>
      </c>
      <c r="BA39" s="276" t="s">
        <v>226</v>
      </c>
      <c r="BB39" s="69">
        <f t="shared" si="9"/>
        <v>-2.8534224203424503</v>
      </c>
      <c r="BC39" s="69">
        <f t="shared" si="10"/>
        <v>-0.43667628535809178</v>
      </c>
      <c r="BD39" s="69">
        <f t="shared" si="11"/>
        <v>3.168120841151298</v>
      </c>
      <c r="BE39" s="69">
        <f>(AX39-$AT39)*100</f>
        <v>3.5037424642530417</v>
      </c>
      <c r="BF39" s="199">
        <f t="shared" si="12"/>
        <v>-0.3430901851466599</v>
      </c>
      <c r="BG39" s="70">
        <f t="shared" si="23"/>
        <v>5.919869408612513</v>
      </c>
      <c r="BH39" s="60" t="s">
        <v>226</v>
      </c>
      <c r="BI39" s="71">
        <f t="shared" si="13"/>
        <v>-2.8534224203424503</v>
      </c>
      <c r="BJ39" s="71">
        <f t="shared" si="14"/>
        <v>2.4167461349843586</v>
      </c>
      <c r="BK39" s="71">
        <f t="shared" si="7"/>
        <v>3.6047971265093897</v>
      </c>
      <c r="BL39" s="71">
        <f>(AX39-AW39)*100</f>
        <v>0.33562162310174365</v>
      </c>
      <c r="BM39" s="200">
        <f t="shared" si="15"/>
        <v>-3.8468326493997016</v>
      </c>
      <c r="BN39" s="72">
        <f t="shared" si="8"/>
        <v>6.2629595937591738</v>
      </c>
      <c r="BO39" s="276">
        <f t="shared" ref="BO39:BS41" si="34">T39/M39</f>
        <v>0.33333333333333331</v>
      </c>
      <c r="BP39" s="67">
        <f t="shared" si="34"/>
        <v>0</v>
      </c>
      <c r="BQ39" s="67">
        <f t="shared" si="34"/>
        <v>0</v>
      </c>
      <c r="BR39" s="190">
        <f t="shared" si="34"/>
        <v>0.27777777777777779</v>
      </c>
      <c r="BS39" s="190">
        <f t="shared" si="34"/>
        <v>0.21052631578947367</v>
      </c>
      <c r="BT39" s="73">
        <f t="shared" si="24"/>
        <v>0</v>
      </c>
      <c r="BU39" s="73">
        <f>(Q39-P39)/P39</f>
        <v>5.5555555555555552E-2</v>
      </c>
    </row>
    <row r="40" spans="1:73" s="14" customFormat="1" x14ac:dyDescent="0.25">
      <c r="A40" s="13"/>
      <c r="B40" s="59" t="s">
        <v>124</v>
      </c>
      <c r="C40" s="60">
        <v>0</v>
      </c>
      <c r="D40" s="61">
        <v>0</v>
      </c>
      <c r="E40" s="61">
        <v>0</v>
      </c>
      <c r="F40" s="145">
        <v>0</v>
      </c>
      <c r="G40" s="62">
        <v>0</v>
      </c>
      <c r="H40" s="60">
        <v>72</v>
      </c>
      <c r="I40" s="61">
        <v>62</v>
      </c>
      <c r="J40" s="61">
        <v>66</v>
      </c>
      <c r="K40" s="145">
        <v>66</v>
      </c>
      <c r="L40" s="62">
        <v>65</v>
      </c>
      <c r="M40" s="60">
        <v>21</v>
      </c>
      <c r="N40" s="61">
        <v>15</v>
      </c>
      <c r="O40" s="61">
        <v>12</v>
      </c>
      <c r="P40" s="145">
        <v>21</v>
      </c>
      <c r="Q40" s="62">
        <v>19</v>
      </c>
      <c r="R40" s="60">
        <v>2</v>
      </c>
      <c r="S40" s="61">
        <v>0</v>
      </c>
      <c r="T40" s="61">
        <v>0</v>
      </c>
      <c r="U40" s="61">
        <v>0</v>
      </c>
      <c r="V40" s="61">
        <v>0</v>
      </c>
      <c r="W40" s="145">
        <v>0</v>
      </c>
      <c r="X40" s="62">
        <v>0</v>
      </c>
      <c r="Y40" s="60" t="s">
        <v>125</v>
      </c>
      <c r="Z40" s="61" t="s">
        <v>126</v>
      </c>
      <c r="AA40" s="61" t="s">
        <v>127</v>
      </c>
      <c r="AB40" s="145" t="s">
        <v>128</v>
      </c>
      <c r="AC40" s="61" t="s">
        <v>128</v>
      </c>
      <c r="AD40" s="152" t="s">
        <v>128</v>
      </c>
      <c r="AE40" s="152" t="s">
        <v>394</v>
      </c>
      <c r="AF40" s="270">
        <v>8488</v>
      </c>
      <c r="AG40" s="65">
        <v>11318</v>
      </c>
      <c r="AH40" s="65">
        <v>11318</v>
      </c>
      <c r="AI40" s="65">
        <v>16978</v>
      </c>
      <c r="AJ40" s="65">
        <v>16590</v>
      </c>
      <c r="AK40" s="196">
        <v>20056</v>
      </c>
      <c r="AL40" s="66">
        <v>19056</v>
      </c>
      <c r="AM40" s="270">
        <v>2000</v>
      </c>
      <c r="AN40" s="65">
        <v>2800</v>
      </c>
      <c r="AO40" s="65">
        <v>3000</v>
      </c>
      <c r="AP40" s="65">
        <v>3500</v>
      </c>
      <c r="AQ40" s="65">
        <v>1690</v>
      </c>
      <c r="AR40" s="196">
        <v>2900</v>
      </c>
      <c r="AS40" s="66">
        <v>3240</v>
      </c>
      <c r="AT40" s="276">
        <f t="shared" si="26"/>
        <v>0.23562676720075401</v>
      </c>
      <c r="AU40" s="67">
        <f t="shared" si="27"/>
        <v>0.24739353242622372</v>
      </c>
      <c r="AV40" s="67">
        <f t="shared" si="28"/>
        <v>0.26506449902809681</v>
      </c>
      <c r="AW40" s="67">
        <f t="shared" si="29"/>
        <v>0.20614913417363648</v>
      </c>
      <c r="AX40" s="67">
        <f t="shared" si="30"/>
        <v>0.10186859553948162</v>
      </c>
      <c r="AY40" s="190">
        <f t="shared" si="5"/>
        <v>0.14459513362584764</v>
      </c>
      <c r="AZ40" s="68">
        <f t="shared" si="6"/>
        <v>0.17002518891687657</v>
      </c>
      <c r="BA40" s="276" t="s">
        <v>226</v>
      </c>
      <c r="BB40" s="69">
        <f t="shared" si="9"/>
        <v>1.1766765225469711</v>
      </c>
      <c r="BC40" s="69">
        <f t="shared" si="10"/>
        <v>2.9437731827342799</v>
      </c>
      <c r="BD40" s="69">
        <f t="shared" si="11"/>
        <v>-2.9477633027117536</v>
      </c>
      <c r="BE40" s="69">
        <f>(AX40-$AT40)*100</f>
        <v>-13.375817166127241</v>
      </c>
      <c r="BF40" s="199">
        <f t="shared" si="12"/>
        <v>-9.1031633574906365</v>
      </c>
      <c r="BG40" s="70">
        <f t="shared" si="23"/>
        <v>-6.5601578283877444</v>
      </c>
      <c r="BH40" s="287" t="s">
        <v>226</v>
      </c>
      <c r="BI40" s="71">
        <f t="shared" si="13"/>
        <v>1.1766765225469711</v>
      </c>
      <c r="BJ40" s="71">
        <f t="shared" si="14"/>
        <v>1.7670966601873088</v>
      </c>
      <c r="BK40" s="71">
        <f t="shared" si="7"/>
        <v>-5.891536485446033</v>
      </c>
      <c r="BL40" s="71">
        <f>(AX40-AW40)*100</f>
        <v>-10.428053863415485</v>
      </c>
      <c r="BM40" s="200">
        <f t="shared" si="15"/>
        <v>4.2726538086366022</v>
      </c>
      <c r="BN40" s="72">
        <f t="shared" si="8"/>
        <v>2.543005529102893</v>
      </c>
      <c r="BO40" s="276">
        <f t="shared" si="34"/>
        <v>0</v>
      </c>
      <c r="BP40" s="67">
        <f t="shared" si="34"/>
        <v>0</v>
      </c>
      <c r="BQ40" s="67">
        <f t="shared" si="34"/>
        <v>0</v>
      </c>
      <c r="BR40" s="190">
        <f t="shared" si="34"/>
        <v>0</v>
      </c>
      <c r="BS40" s="190">
        <f t="shared" si="34"/>
        <v>0</v>
      </c>
      <c r="BT40" s="73"/>
      <c r="BU40" s="73">
        <f>(Q40-P40)/P40</f>
        <v>-9.5238095238095233E-2</v>
      </c>
    </row>
    <row r="41" spans="1:73" s="11" customFormat="1" x14ac:dyDescent="0.25">
      <c r="A41" s="10"/>
      <c r="B41" s="33" t="s">
        <v>129</v>
      </c>
      <c r="C41" s="34">
        <v>0</v>
      </c>
      <c r="D41" s="35">
        <v>0</v>
      </c>
      <c r="E41" s="35">
        <v>0</v>
      </c>
      <c r="F41" s="93">
        <v>0</v>
      </c>
      <c r="G41" s="36">
        <v>0</v>
      </c>
      <c r="H41" s="34">
        <v>37</v>
      </c>
      <c r="I41" s="35">
        <v>35</v>
      </c>
      <c r="J41" s="35">
        <v>36</v>
      </c>
      <c r="K41" s="93">
        <v>36</v>
      </c>
      <c r="L41" s="36">
        <v>34</v>
      </c>
      <c r="M41" s="34">
        <v>11</v>
      </c>
      <c r="N41" s="35">
        <v>11</v>
      </c>
      <c r="O41" s="35">
        <v>10</v>
      </c>
      <c r="P41" s="93">
        <v>17</v>
      </c>
      <c r="Q41" s="36">
        <v>6</v>
      </c>
      <c r="R41" s="34">
        <v>0</v>
      </c>
      <c r="S41" s="35">
        <v>0</v>
      </c>
      <c r="T41" s="35">
        <v>0</v>
      </c>
      <c r="U41" s="35">
        <v>0</v>
      </c>
      <c r="V41" s="35">
        <v>0</v>
      </c>
      <c r="W41" s="93">
        <v>0</v>
      </c>
      <c r="X41" s="36">
        <v>0</v>
      </c>
      <c r="Y41" s="34" t="s">
        <v>126</v>
      </c>
      <c r="Z41" s="35" t="s">
        <v>91</v>
      </c>
      <c r="AA41" s="35" t="s">
        <v>83</v>
      </c>
      <c r="AB41" s="93" t="s">
        <v>83</v>
      </c>
      <c r="AC41" s="35" t="s">
        <v>83</v>
      </c>
      <c r="AD41" s="154" t="s">
        <v>142</v>
      </c>
      <c r="AE41" s="154" t="s">
        <v>395</v>
      </c>
      <c r="AF41" s="38">
        <v>3723</v>
      </c>
      <c r="AG41" s="39">
        <v>5351</v>
      </c>
      <c r="AH41" s="39">
        <v>7187</v>
      </c>
      <c r="AI41" s="39">
        <v>7176</v>
      </c>
      <c r="AJ41" s="39">
        <v>7003</v>
      </c>
      <c r="AK41" s="182">
        <v>7713</v>
      </c>
      <c r="AL41" s="40">
        <v>7596</v>
      </c>
      <c r="AM41" s="38">
        <v>152</v>
      </c>
      <c r="AN41" s="39">
        <v>331</v>
      </c>
      <c r="AO41" s="39">
        <v>493</v>
      </c>
      <c r="AP41" s="39">
        <v>321</v>
      </c>
      <c r="AQ41" s="39">
        <v>1352</v>
      </c>
      <c r="AR41" s="182">
        <v>2318</v>
      </c>
      <c r="AS41" s="40">
        <v>1083</v>
      </c>
      <c r="AT41" s="41">
        <f t="shared" si="26"/>
        <v>4.0827289820037603E-2</v>
      </c>
      <c r="AU41" s="42">
        <f t="shared" si="27"/>
        <v>6.1857596710895163E-2</v>
      </c>
      <c r="AV41" s="42">
        <f t="shared" si="28"/>
        <v>6.8596076248782528E-2</v>
      </c>
      <c r="AW41" s="42">
        <f t="shared" si="29"/>
        <v>4.4732441471571904E-2</v>
      </c>
      <c r="AX41" s="42">
        <f t="shared" si="30"/>
        <v>0.19306011709267457</v>
      </c>
      <c r="AY41" s="183">
        <f t="shared" si="5"/>
        <v>0.30053157007649423</v>
      </c>
      <c r="AZ41" s="43">
        <f t="shared" si="6"/>
        <v>0.14257503949447078</v>
      </c>
      <c r="BA41" s="41" t="s">
        <v>226</v>
      </c>
      <c r="BB41" s="44">
        <f t="shared" si="9"/>
        <v>2.103030689085756</v>
      </c>
      <c r="BC41" s="44">
        <f t="shared" si="10"/>
        <v>2.7768786428744927</v>
      </c>
      <c r="BD41" s="44">
        <f t="shared" si="11"/>
        <v>0.3905151651534301</v>
      </c>
      <c r="BE41" s="44">
        <f>(AX41-$AT41)*100</f>
        <v>15.223282727263696</v>
      </c>
      <c r="BF41" s="184">
        <f t="shared" si="12"/>
        <v>25.970428025645663</v>
      </c>
      <c r="BG41" s="45">
        <f t="shared" si="23"/>
        <v>10.174774967443318</v>
      </c>
      <c r="BH41" s="34" t="s">
        <v>226</v>
      </c>
      <c r="BI41" s="46">
        <f t="shared" si="13"/>
        <v>2.103030689085756</v>
      </c>
      <c r="BJ41" s="46">
        <f t="shared" si="14"/>
        <v>0.67384795378873652</v>
      </c>
      <c r="BK41" s="46">
        <f t="shared" si="7"/>
        <v>-2.3863634777210625</v>
      </c>
      <c r="BL41" s="46">
        <f>(AX41-AW41)*100</f>
        <v>14.832767562110266</v>
      </c>
      <c r="BM41" s="185">
        <f t="shared" si="15"/>
        <v>10.747145298381966</v>
      </c>
      <c r="BN41" s="47">
        <f t="shared" si="8"/>
        <v>-15.795653058202344</v>
      </c>
      <c r="BO41" s="41">
        <f t="shared" si="34"/>
        <v>0</v>
      </c>
      <c r="BP41" s="42">
        <f t="shared" si="34"/>
        <v>0</v>
      </c>
      <c r="BQ41" s="42">
        <f t="shared" si="34"/>
        <v>0</v>
      </c>
      <c r="BR41" s="183">
        <f t="shared" si="34"/>
        <v>0</v>
      </c>
      <c r="BS41" s="183">
        <f t="shared" si="34"/>
        <v>0</v>
      </c>
      <c r="BT41" s="48"/>
      <c r="BU41" s="48">
        <f>(Q41-P41)/P41</f>
        <v>-0.6470588235294118</v>
      </c>
    </row>
    <row r="42" spans="1:73" s="9" customFormat="1" x14ac:dyDescent="0.25">
      <c r="A42" s="12">
        <v>25</v>
      </c>
      <c r="B42" s="17" t="s">
        <v>15</v>
      </c>
      <c r="C42" s="2"/>
      <c r="D42" s="3"/>
      <c r="E42" s="3"/>
      <c r="F42" s="144">
        <v>24</v>
      </c>
      <c r="G42" s="4"/>
      <c r="H42" s="2"/>
      <c r="I42" s="3"/>
      <c r="J42" s="3"/>
      <c r="K42" s="144">
        <v>4116</v>
      </c>
      <c r="L42" s="4"/>
      <c r="M42" s="2"/>
      <c r="N42" s="3"/>
      <c r="O42" s="3"/>
      <c r="P42" s="144">
        <v>670</v>
      </c>
      <c r="Q42" s="4"/>
      <c r="R42" s="2"/>
      <c r="S42" s="3"/>
      <c r="T42" s="3"/>
      <c r="U42" s="3"/>
      <c r="V42" s="3"/>
      <c r="W42" s="144">
        <v>22</v>
      </c>
      <c r="X42" s="4"/>
      <c r="Y42" s="2"/>
      <c r="Z42" s="3"/>
      <c r="AA42" s="3"/>
      <c r="AB42" s="144"/>
      <c r="AC42" s="3"/>
      <c r="AD42" s="153"/>
      <c r="AE42" s="86"/>
      <c r="AF42" s="19"/>
      <c r="AG42" s="20"/>
      <c r="AH42" s="20"/>
      <c r="AI42" s="20"/>
      <c r="AJ42" s="20"/>
      <c r="AK42" s="210">
        <v>974890</v>
      </c>
      <c r="AL42" s="21"/>
      <c r="AM42" s="19"/>
      <c r="AN42" s="20"/>
      <c r="AO42" s="20"/>
      <c r="AP42" s="20"/>
      <c r="AQ42" s="20"/>
      <c r="AR42" s="210">
        <v>91316</v>
      </c>
      <c r="AS42" s="21"/>
      <c r="AT42" s="50"/>
      <c r="AU42" s="51"/>
      <c r="AV42" s="51"/>
      <c r="AW42" s="51"/>
      <c r="AX42" s="51"/>
      <c r="AY42" s="211">
        <f t="shared" si="5"/>
        <v>9.3668003569633493E-2</v>
      </c>
      <c r="AZ42" s="52"/>
      <c r="BA42" s="50" t="s">
        <v>226</v>
      </c>
      <c r="BB42" s="53"/>
      <c r="BC42" s="53"/>
      <c r="BD42" s="53"/>
      <c r="BE42" s="53"/>
      <c r="BF42" s="212">
        <f t="shared" si="12"/>
        <v>9.3668003569633491</v>
      </c>
      <c r="BG42" s="54"/>
      <c r="BH42" s="2" t="s">
        <v>226</v>
      </c>
      <c r="BI42" s="55"/>
      <c r="BJ42" s="55"/>
      <c r="BK42" s="55"/>
      <c r="BL42" s="55"/>
      <c r="BM42" s="213"/>
      <c r="BN42" s="56"/>
      <c r="BO42" s="50"/>
      <c r="BP42" s="51"/>
      <c r="BQ42" s="51"/>
      <c r="BR42" s="211">
        <f>W42/P42</f>
        <v>3.2835820895522387E-2</v>
      </c>
      <c r="BS42" s="211"/>
      <c r="BT42" s="57"/>
      <c r="BU42" s="57"/>
    </row>
    <row r="43" spans="1:73" s="9" customFormat="1" x14ac:dyDescent="0.25">
      <c r="A43" s="12"/>
      <c r="B43" s="17" t="s">
        <v>137</v>
      </c>
      <c r="C43" s="2">
        <v>19</v>
      </c>
      <c r="D43" s="3">
        <v>19</v>
      </c>
      <c r="E43" s="3">
        <v>19</v>
      </c>
      <c r="F43" s="144"/>
      <c r="G43" s="4">
        <v>37</v>
      </c>
      <c r="H43" s="2">
        <v>951</v>
      </c>
      <c r="I43" s="3">
        <v>935</v>
      </c>
      <c r="J43" s="3">
        <v>913</v>
      </c>
      <c r="K43" s="144"/>
      <c r="L43" s="4">
        <v>469</v>
      </c>
      <c r="M43" s="2">
        <v>57</v>
      </c>
      <c r="N43" s="3">
        <v>68</v>
      </c>
      <c r="O43" s="3">
        <v>73</v>
      </c>
      <c r="P43" s="144"/>
      <c r="Q43" s="4">
        <v>47</v>
      </c>
      <c r="R43" s="2">
        <v>6</v>
      </c>
      <c r="S43" s="3">
        <v>4</v>
      </c>
      <c r="T43" s="3">
        <v>2</v>
      </c>
      <c r="U43" s="3">
        <v>0</v>
      </c>
      <c r="V43" s="3">
        <v>0</v>
      </c>
      <c r="W43" s="144"/>
      <c r="X43" s="4">
        <v>0</v>
      </c>
      <c r="Y43" s="2" t="s">
        <v>130</v>
      </c>
      <c r="Z43" s="3" t="s">
        <v>131</v>
      </c>
      <c r="AA43" s="3" t="s">
        <v>83</v>
      </c>
      <c r="AB43" s="144" t="s">
        <v>132</v>
      </c>
      <c r="AC43" s="3" t="s">
        <v>132</v>
      </c>
      <c r="AD43" s="153"/>
      <c r="AE43" s="86">
        <v>44.78</v>
      </c>
      <c r="AF43" s="19">
        <v>52425.85</v>
      </c>
      <c r="AG43" s="20">
        <v>57456.41</v>
      </c>
      <c r="AH43" s="20">
        <v>82830.990000000005</v>
      </c>
      <c r="AI43" s="20">
        <v>87600.8</v>
      </c>
      <c r="AJ43" s="20">
        <v>110464.9</v>
      </c>
      <c r="AK43" s="210"/>
      <c r="AL43" s="21">
        <v>373080</v>
      </c>
      <c r="AM43" s="19">
        <v>7450</v>
      </c>
      <c r="AN43" s="20">
        <v>9545</v>
      </c>
      <c r="AO43" s="20">
        <v>13270</v>
      </c>
      <c r="AP43" s="20">
        <v>15340</v>
      </c>
      <c r="AQ43" s="20">
        <v>17160</v>
      </c>
      <c r="AR43" s="210"/>
      <c r="AS43" s="21">
        <v>19208</v>
      </c>
      <c r="AT43" s="50">
        <f t="shared" si="26"/>
        <v>0.14210546896235349</v>
      </c>
      <c r="AU43" s="51">
        <f t="shared" si="27"/>
        <v>0.16612593790666697</v>
      </c>
      <c r="AV43" s="51">
        <f t="shared" si="28"/>
        <v>0.16020573942192409</v>
      </c>
      <c r="AW43" s="51">
        <f t="shared" si="29"/>
        <v>0.17511255604971643</v>
      </c>
      <c r="AX43" s="51">
        <f t="shared" si="30"/>
        <v>0.15534346204088359</v>
      </c>
      <c r="AY43" s="211"/>
      <c r="AZ43" s="52">
        <f t="shared" si="6"/>
        <v>5.1484936206711698E-2</v>
      </c>
      <c r="BA43" s="50" t="s">
        <v>226</v>
      </c>
      <c r="BB43" s="53">
        <f t="shared" si="9"/>
        <v>2.402046894431348</v>
      </c>
      <c r="BC43" s="53">
        <f t="shared" si="10"/>
        <v>1.8100270459570607</v>
      </c>
      <c r="BD43" s="53">
        <f t="shared" si="11"/>
        <v>3.3007087087362939</v>
      </c>
      <c r="BE43" s="53">
        <f>(AX43-$AT43)*100</f>
        <v>1.3237993078530104</v>
      </c>
      <c r="BF43" s="212"/>
      <c r="BG43" s="54">
        <f t="shared" si="23"/>
        <v>-9.0620532755641783</v>
      </c>
      <c r="BH43" s="2" t="s">
        <v>226</v>
      </c>
      <c r="BI43" s="55">
        <f t="shared" si="13"/>
        <v>2.402046894431348</v>
      </c>
      <c r="BJ43" s="55">
        <f t="shared" si="14"/>
        <v>-0.59201984847428724</v>
      </c>
      <c r="BK43" s="55">
        <f t="shared" si="7"/>
        <v>1.4906816627792336</v>
      </c>
      <c r="BL43" s="55">
        <f>(AX43-AW43)*100</f>
        <v>-1.9769094008832839</v>
      </c>
      <c r="BM43" s="213"/>
      <c r="BN43" s="56"/>
      <c r="BO43" s="50">
        <f t="shared" ref="BO43:BQ47" si="35">T43/M43</f>
        <v>3.5087719298245612E-2</v>
      </c>
      <c r="BP43" s="51">
        <f t="shared" si="35"/>
        <v>0</v>
      </c>
      <c r="BQ43" s="51">
        <f t="shared" si="35"/>
        <v>0</v>
      </c>
      <c r="BR43" s="211"/>
      <c r="BS43" s="211">
        <f>X43/Q43</f>
        <v>0</v>
      </c>
      <c r="BT43" s="57"/>
      <c r="BU43" s="57"/>
    </row>
    <row r="44" spans="1:73" s="14" customFormat="1" x14ac:dyDescent="0.25">
      <c r="A44" s="13"/>
      <c r="B44" s="59" t="s">
        <v>138</v>
      </c>
      <c r="C44" s="60">
        <v>0</v>
      </c>
      <c r="D44" s="61">
        <v>0</v>
      </c>
      <c r="E44" s="61">
        <v>0</v>
      </c>
      <c r="F44" s="145">
        <v>5</v>
      </c>
      <c r="G44" s="62">
        <v>5</v>
      </c>
      <c r="H44" s="60">
        <v>171</v>
      </c>
      <c r="I44" s="61">
        <v>171</v>
      </c>
      <c r="J44" s="61">
        <v>171</v>
      </c>
      <c r="K44" s="145">
        <v>170</v>
      </c>
      <c r="L44" s="62">
        <v>170</v>
      </c>
      <c r="M44" s="60">
        <v>68</v>
      </c>
      <c r="N44" s="61">
        <v>72</v>
      </c>
      <c r="O44" s="61">
        <v>78</v>
      </c>
      <c r="P44" s="145">
        <v>44</v>
      </c>
      <c r="Q44" s="62">
        <v>37</v>
      </c>
      <c r="R44" s="60">
        <v>5</v>
      </c>
      <c r="S44" s="61">
        <v>0</v>
      </c>
      <c r="T44" s="61">
        <v>0</v>
      </c>
      <c r="U44" s="61">
        <v>1</v>
      </c>
      <c r="V44" s="61">
        <v>1</v>
      </c>
      <c r="W44" s="145">
        <v>1</v>
      </c>
      <c r="X44" s="62">
        <v>8</v>
      </c>
      <c r="Y44" s="60" t="s">
        <v>130</v>
      </c>
      <c r="Z44" s="61" t="s">
        <v>133</v>
      </c>
      <c r="AA44" s="61" t="s">
        <v>134</v>
      </c>
      <c r="AB44" s="145" t="s">
        <v>135</v>
      </c>
      <c r="AC44" s="61" t="s">
        <v>135</v>
      </c>
      <c r="AD44" s="145" t="s">
        <v>135</v>
      </c>
      <c r="AE44" s="62">
        <v>41.51</v>
      </c>
      <c r="AF44" s="270">
        <v>34362</v>
      </c>
      <c r="AG44" s="65">
        <v>31860</v>
      </c>
      <c r="AH44" s="65">
        <v>36520</v>
      </c>
      <c r="AI44" s="65">
        <v>45600</v>
      </c>
      <c r="AJ44" s="65">
        <v>46150</v>
      </c>
      <c r="AK44" s="196">
        <v>57784</v>
      </c>
      <c r="AL44" s="66">
        <v>60583</v>
      </c>
      <c r="AM44" s="270">
        <v>28486</v>
      </c>
      <c r="AN44" s="65">
        <v>31541</v>
      </c>
      <c r="AO44" s="65">
        <v>35607</v>
      </c>
      <c r="AP44" s="65">
        <v>41633</v>
      </c>
      <c r="AQ44" s="65">
        <v>46611</v>
      </c>
      <c r="AR44" s="196">
        <v>14833</v>
      </c>
      <c r="AS44" s="66">
        <v>9868</v>
      </c>
      <c r="AT44" s="276">
        <f t="shared" si="26"/>
        <v>0.82899714801233926</v>
      </c>
      <c r="AU44" s="67">
        <f t="shared" si="27"/>
        <v>0.98998744507219083</v>
      </c>
      <c r="AV44" s="67">
        <f t="shared" si="28"/>
        <v>0.97499999999999998</v>
      </c>
      <c r="AW44" s="67">
        <f t="shared" si="29"/>
        <v>0.91300438596491229</v>
      </c>
      <c r="AX44" s="67">
        <f t="shared" si="30"/>
        <v>1.0099891657638136</v>
      </c>
      <c r="AY44" s="190">
        <f t="shared" si="5"/>
        <v>0.25669735566938945</v>
      </c>
      <c r="AZ44" s="68">
        <f t="shared" si="6"/>
        <v>0.16288397735338297</v>
      </c>
      <c r="BA44" s="276" t="s">
        <v>226</v>
      </c>
      <c r="BB44" s="69">
        <f t="shared" si="9"/>
        <v>16.099029705985156</v>
      </c>
      <c r="BC44" s="69">
        <f t="shared" si="10"/>
        <v>14.600285198766072</v>
      </c>
      <c r="BD44" s="69">
        <f t="shared" si="11"/>
        <v>8.4007237952573028</v>
      </c>
      <c r="BE44" s="69">
        <f>(AX44-$AT44)*100</f>
        <v>18.099201775147435</v>
      </c>
      <c r="BF44" s="199"/>
      <c r="BG44" s="70">
        <f t="shared" si="23"/>
        <v>-66.611317065895619</v>
      </c>
      <c r="BH44" s="60" t="s">
        <v>226</v>
      </c>
      <c r="BI44" s="71">
        <f t="shared" si="13"/>
        <v>16.099029705985156</v>
      </c>
      <c r="BJ44" s="71">
        <f t="shared" si="14"/>
        <v>-1.4987445072190853</v>
      </c>
      <c r="BK44" s="71">
        <f t="shared" si="7"/>
        <v>-6.1995614035087687</v>
      </c>
      <c r="BL44" s="71">
        <f>(AX44-AW44)*100</f>
        <v>9.6984779798901304</v>
      </c>
      <c r="BM44" s="200"/>
      <c r="BN44" s="72">
        <f t="shared" si="8"/>
        <v>-9.3813378316006482</v>
      </c>
      <c r="BO44" s="276">
        <f t="shared" si="35"/>
        <v>0</v>
      </c>
      <c r="BP44" s="67">
        <f t="shared" si="35"/>
        <v>1.3888888888888888E-2</v>
      </c>
      <c r="BQ44" s="67">
        <f t="shared" si="35"/>
        <v>1.282051282051282E-2</v>
      </c>
      <c r="BR44" s="190">
        <f>W44/P44</f>
        <v>2.2727272727272728E-2</v>
      </c>
      <c r="BS44" s="190">
        <f>X44/Q44</f>
        <v>0.21621621621621623</v>
      </c>
      <c r="BT44" s="73"/>
      <c r="BU44" s="73">
        <f>(Q44-P44)/P44</f>
        <v>-0.15909090909090909</v>
      </c>
    </row>
    <row r="45" spans="1:73" s="11" customFormat="1" x14ac:dyDescent="0.25">
      <c r="A45" s="10"/>
      <c r="B45" s="33" t="s">
        <v>139</v>
      </c>
      <c r="C45" s="34">
        <v>0</v>
      </c>
      <c r="D45" s="35">
        <v>0</v>
      </c>
      <c r="E45" s="35">
        <v>0</v>
      </c>
      <c r="F45" s="93"/>
      <c r="G45" s="36">
        <v>0</v>
      </c>
      <c r="H45" s="34">
        <v>20</v>
      </c>
      <c r="I45" s="35">
        <v>20</v>
      </c>
      <c r="J45" s="35">
        <v>20</v>
      </c>
      <c r="K45" s="93"/>
      <c r="L45" s="36">
        <v>22</v>
      </c>
      <c r="M45" s="34">
        <v>2</v>
      </c>
      <c r="N45" s="35">
        <v>4</v>
      </c>
      <c r="O45" s="35">
        <v>5</v>
      </c>
      <c r="P45" s="93"/>
      <c r="Q45" s="36">
        <v>7</v>
      </c>
      <c r="R45" s="34">
        <v>0</v>
      </c>
      <c r="S45" s="35">
        <v>0</v>
      </c>
      <c r="T45" s="35">
        <v>0</v>
      </c>
      <c r="U45" s="35">
        <v>0</v>
      </c>
      <c r="V45" s="35">
        <v>0</v>
      </c>
      <c r="W45" s="93"/>
      <c r="X45" s="36">
        <v>0</v>
      </c>
      <c r="Y45" s="34" t="s">
        <v>93</v>
      </c>
      <c r="Z45" s="35" t="s">
        <v>81</v>
      </c>
      <c r="AA45" s="35" t="s">
        <v>95</v>
      </c>
      <c r="AB45" s="93" t="s">
        <v>136</v>
      </c>
      <c r="AC45" s="35" t="s">
        <v>136</v>
      </c>
      <c r="AD45" s="154"/>
      <c r="AE45" s="90" t="s">
        <v>181</v>
      </c>
      <c r="AF45" s="38">
        <v>2740.22</v>
      </c>
      <c r="AG45" s="39">
        <v>3798.95</v>
      </c>
      <c r="AH45" s="39">
        <v>4565.0600000000004</v>
      </c>
      <c r="AI45" s="39">
        <v>5430.96</v>
      </c>
      <c r="AJ45" s="39">
        <v>5437.78</v>
      </c>
      <c r="AK45" s="182"/>
      <c r="AL45" s="40">
        <v>8266.01</v>
      </c>
      <c r="AM45" s="38"/>
      <c r="AN45" s="39"/>
      <c r="AO45" s="39">
        <v>250.67</v>
      </c>
      <c r="AP45" s="39">
        <v>769.84</v>
      </c>
      <c r="AQ45" s="39">
        <v>1193.51</v>
      </c>
      <c r="AR45" s="182"/>
      <c r="AS45" s="40">
        <v>981.43</v>
      </c>
      <c r="AT45" s="41">
        <f t="shared" si="26"/>
        <v>0</v>
      </c>
      <c r="AU45" s="42">
        <f t="shared" si="27"/>
        <v>0</v>
      </c>
      <c r="AV45" s="42">
        <f t="shared" si="28"/>
        <v>5.4910559773584569E-2</v>
      </c>
      <c r="AW45" s="42">
        <f t="shared" si="29"/>
        <v>0.14175026146390327</v>
      </c>
      <c r="AX45" s="42">
        <f t="shared" si="30"/>
        <v>0.21948478974875776</v>
      </c>
      <c r="AY45" s="183"/>
      <c r="AZ45" s="43">
        <f t="shared" si="6"/>
        <v>0.11873080240648147</v>
      </c>
      <c r="BA45" s="41" t="s">
        <v>226</v>
      </c>
      <c r="BB45" s="44"/>
      <c r="BC45" s="44"/>
      <c r="BD45" s="44"/>
      <c r="BE45" s="44"/>
      <c r="BF45" s="184"/>
      <c r="BG45" s="45"/>
      <c r="BH45" s="34" t="s">
        <v>226</v>
      </c>
      <c r="BI45" s="46"/>
      <c r="BJ45" s="46"/>
      <c r="BK45" s="46">
        <f t="shared" si="7"/>
        <v>8.6839701690318698</v>
      </c>
      <c r="BL45" s="46">
        <f>(AX45-AW45)*100</f>
        <v>7.7734528284854498</v>
      </c>
      <c r="BM45" s="185"/>
      <c r="BN45" s="47"/>
      <c r="BO45" s="41">
        <f t="shared" si="35"/>
        <v>0</v>
      </c>
      <c r="BP45" s="42">
        <f t="shared" si="35"/>
        <v>0</v>
      </c>
      <c r="BQ45" s="42">
        <f t="shared" si="35"/>
        <v>0</v>
      </c>
      <c r="BR45" s="183"/>
      <c r="BS45" s="183">
        <f>X45/Q45</f>
        <v>0</v>
      </c>
      <c r="BT45" s="48"/>
      <c r="BU45" s="48"/>
    </row>
    <row r="46" spans="1:73" s="14" customFormat="1" x14ac:dyDescent="0.25">
      <c r="A46" s="13"/>
      <c r="B46" s="59" t="s">
        <v>140</v>
      </c>
      <c r="C46" s="60">
        <v>0</v>
      </c>
      <c r="D46" s="61">
        <v>0</v>
      </c>
      <c r="E46" s="61">
        <v>0</v>
      </c>
      <c r="F46" s="145"/>
      <c r="G46" s="62">
        <v>0</v>
      </c>
      <c r="H46" s="60">
        <v>69</v>
      </c>
      <c r="I46" s="61">
        <v>69</v>
      </c>
      <c r="J46" s="61">
        <v>68</v>
      </c>
      <c r="K46" s="145"/>
      <c r="L46" s="62">
        <v>72</v>
      </c>
      <c r="M46" s="60">
        <v>10</v>
      </c>
      <c r="N46" s="61">
        <v>18</v>
      </c>
      <c r="O46" s="61">
        <v>17</v>
      </c>
      <c r="P46" s="145"/>
      <c r="Q46" s="62">
        <v>36</v>
      </c>
      <c r="R46" s="60">
        <v>2</v>
      </c>
      <c r="S46" s="61">
        <v>0</v>
      </c>
      <c r="T46" s="61">
        <v>5</v>
      </c>
      <c r="U46" s="61">
        <v>0</v>
      </c>
      <c r="V46" s="61">
        <v>0</v>
      </c>
      <c r="W46" s="145"/>
      <c r="X46" s="62">
        <v>0</v>
      </c>
      <c r="Y46" s="60" t="s">
        <v>128</v>
      </c>
      <c r="Z46" s="61" t="s">
        <v>128</v>
      </c>
      <c r="AA46" s="61">
        <v>40.200000000000003</v>
      </c>
      <c r="AB46" s="145">
        <v>40.200000000000003</v>
      </c>
      <c r="AC46" s="61">
        <v>40.200000000000003</v>
      </c>
      <c r="AD46" s="152"/>
      <c r="AE46" s="64">
        <v>41.8</v>
      </c>
      <c r="AF46" s="270">
        <v>11120</v>
      </c>
      <c r="AG46" s="65">
        <v>14403</v>
      </c>
      <c r="AH46" s="65">
        <v>14895</v>
      </c>
      <c r="AI46" s="65">
        <v>22272</v>
      </c>
      <c r="AJ46" s="65">
        <v>23531</v>
      </c>
      <c r="AK46" s="196"/>
      <c r="AL46" s="66">
        <v>21807.75</v>
      </c>
      <c r="AM46" s="270">
        <v>1850</v>
      </c>
      <c r="AN46" s="65">
        <v>1692</v>
      </c>
      <c r="AO46" s="65">
        <v>2463</v>
      </c>
      <c r="AP46" s="65">
        <v>4538</v>
      </c>
      <c r="AQ46" s="65">
        <v>5738</v>
      </c>
      <c r="AR46" s="196"/>
      <c r="AS46" s="66">
        <v>1002.98</v>
      </c>
      <c r="AT46" s="276">
        <f t="shared" si="26"/>
        <v>0.16636690647482014</v>
      </c>
      <c r="AU46" s="67">
        <f t="shared" si="27"/>
        <v>0.11747552593209748</v>
      </c>
      <c r="AV46" s="67">
        <f t="shared" si="28"/>
        <v>0.16535750251762335</v>
      </c>
      <c r="AW46" s="67">
        <f t="shared" si="29"/>
        <v>0.20375359195402298</v>
      </c>
      <c r="AX46" s="67">
        <f t="shared" si="30"/>
        <v>0.24384854022353492</v>
      </c>
      <c r="AY46" s="190"/>
      <c r="AZ46" s="68">
        <f t="shared" si="6"/>
        <v>4.5991906546984443E-2</v>
      </c>
      <c r="BA46" s="276" t="s">
        <v>226</v>
      </c>
      <c r="BB46" s="69">
        <f t="shared" si="9"/>
        <v>-4.8891380542722658</v>
      </c>
      <c r="BC46" s="69">
        <f t="shared" si="10"/>
        <v>-0.10094039571967861</v>
      </c>
      <c r="BD46" s="69">
        <f t="shared" si="11"/>
        <v>3.7386685479202848</v>
      </c>
      <c r="BE46" s="69">
        <f>(AX46-$AT46)*100</f>
        <v>7.7481633748714778</v>
      </c>
      <c r="BF46" s="199"/>
      <c r="BG46" s="70">
        <f t="shared" si="23"/>
        <v>-12.03749999278357</v>
      </c>
      <c r="BH46" s="60" t="s">
        <v>226</v>
      </c>
      <c r="BI46" s="71">
        <f t="shared" si="13"/>
        <v>-4.8891380542722658</v>
      </c>
      <c r="BJ46" s="71">
        <f t="shared" si="14"/>
        <v>4.7881976585525869</v>
      </c>
      <c r="BK46" s="71">
        <f t="shared" si="7"/>
        <v>3.8396089436399632</v>
      </c>
      <c r="BL46" s="71">
        <f>(AX46-AW46)*100</f>
        <v>4.009494826951193</v>
      </c>
      <c r="BM46" s="200"/>
      <c r="BN46" s="72"/>
      <c r="BO46" s="276">
        <f t="shared" si="35"/>
        <v>0.5</v>
      </c>
      <c r="BP46" s="67">
        <f t="shared" si="35"/>
        <v>0</v>
      </c>
      <c r="BQ46" s="67">
        <f t="shared" si="35"/>
        <v>0</v>
      </c>
      <c r="BR46" s="190"/>
      <c r="BS46" s="190">
        <f>X46/Q46</f>
        <v>0</v>
      </c>
      <c r="BT46" s="73"/>
      <c r="BU46" s="73"/>
    </row>
    <row r="47" spans="1:73" s="9" customFormat="1" x14ac:dyDescent="0.25">
      <c r="A47" s="12"/>
      <c r="B47" s="17" t="s">
        <v>306</v>
      </c>
      <c r="C47" s="2">
        <v>0</v>
      </c>
      <c r="D47" s="3">
        <v>0</v>
      </c>
      <c r="E47" s="3">
        <v>0</v>
      </c>
      <c r="F47" s="144"/>
      <c r="G47" s="4"/>
      <c r="H47" s="2">
        <v>3785</v>
      </c>
      <c r="I47" s="3">
        <v>3779</v>
      </c>
      <c r="J47" s="3">
        <v>3781</v>
      </c>
      <c r="K47" s="144"/>
      <c r="L47" s="4"/>
      <c r="M47" s="2">
        <v>228</v>
      </c>
      <c r="N47" s="3">
        <v>268</v>
      </c>
      <c r="O47" s="3">
        <v>367</v>
      </c>
      <c r="P47" s="144"/>
      <c r="Q47" s="4"/>
      <c r="R47" s="2">
        <v>3</v>
      </c>
      <c r="S47" s="3">
        <v>4</v>
      </c>
      <c r="T47" s="3">
        <v>11</v>
      </c>
      <c r="U47" s="3">
        <v>0</v>
      </c>
      <c r="V47" s="3">
        <v>53</v>
      </c>
      <c r="W47" s="144"/>
      <c r="X47" s="4"/>
      <c r="Y47" s="2">
        <f>AVERAGE((18.53+22.71)/2)</f>
        <v>20.62</v>
      </c>
      <c r="Z47" s="49">
        <f>AVERAGE((22.99+23.68+25.33)/3)</f>
        <v>24</v>
      </c>
      <c r="AA47" s="49">
        <f>AVERAGE((28.11+31.09+28.11+32.67+35.16+59.25)/6)</f>
        <v>35.731666666666662</v>
      </c>
      <c r="AB47" s="153">
        <f>AVERAGE((28.11+31.09+28.11+32.67+35.16+59.25)/6)</f>
        <v>35.731666666666662</v>
      </c>
      <c r="AC47" s="49">
        <f>AVERAGE((28.11+31.09+28.11+32.67+35.16+59.25)/6)</f>
        <v>35.731666666666662</v>
      </c>
      <c r="AD47" s="153"/>
      <c r="AE47" s="86"/>
      <c r="AF47" s="19">
        <v>313231</v>
      </c>
      <c r="AG47" s="20">
        <v>319495</v>
      </c>
      <c r="AH47" s="20">
        <v>425119</v>
      </c>
      <c r="AI47" s="20">
        <v>598855</v>
      </c>
      <c r="AJ47" s="20">
        <v>578396</v>
      </c>
      <c r="AK47" s="210"/>
      <c r="AL47" s="21"/>
      <c r="AM47" s="19">
        <v>41346</v>
      </c>
      <c r="AN47" s="20">
        <v>30672</v>
      </c>
      <c r="AO47" s="20">
        <v>38218</v>
      </c>
      <c r="AP47" s="20">
        <v>74258</v>
      </c>
      <c r="AQ47" s="20">
        <v>67672</v>
      </c>
      <c r="AR47" s="210"/>
      <c r="AS47" s="21"/>
      <c r="AT47" s="50">
        <f t="shared" si="26"/>
        <v>0.13199842927424169</v>
      </c>
      <c r="AU47" s="51">
        <f t="shared" si="27"/>
        <v>9.6001502370929123E-2</v>
      </c>
      <c r="AV47" s="51">
        <f t="shared" si="28"/>
        <v>8.9899534012829352E-2</v>
      </c>
      <c r="AW47" s="51">
        <f t="shared" si="29"/>
        <v>0.12399996660293393</v>
      </c>
      <c r="AX47" s="51">
        <f t="shared" si="30"/>
        <v>0.11699942599879667</v>
      </c>
      <c r="AY47" s="211"/>
      <c r="AZ47" s="52"/>
      <c r="BA47" s="50" t="s">
        <v>226</v>
      </c>
      <c r="BB47" s="53">
        <f t="shared" si="9"/>
        <v>-3.5996926903312563</v>
      </c>
      <c r="BC47" s="53">
        <f t="shared" si="10"/>
        <v>-4.2098895261412332</v>
      </c>
      <c r="BD47" s="53">
        <f t="shared" si="11"/>
        <v>-0.79984626713077578</v>
      </c>
      <c r="BE47" s="53">
        <f>(AX47-$AT47)*100</f>
        <v>-1.4999003275445011</v>
      </c>
      <c r="BF47" s="212"/>
      <c r="BG47" s="54"/>
      <c r="BH47" s="2" t="s">
        <v>226</v>
      </c>
      <c r="BI47" s="55">
        <f t="shared" si="13"/>
        <v>-3.5996926903312563</v>
      </c>
      <c r="BJ47" s="55">
        <f t="shared" si="14"/>
        <v>-0.61019683580997719</v>
      </c>
      <c r="BK47" s="55">
        <f t="shared" si="7"/>
        <v>3.4100432590104575</v>
      </c>
      <c r="BL47" s="55">
        <f>(AX47-AW47)*100</f>
        <v>-0.70005406041372531</v>
      </c>
      <c r="BM47" s="213"/>
      <c r="BN47" s="56"/>
      <c r="BO47" s="50">
        <f t="shared" si="35"/>
        <v>4.8245614035087717E-2</v>
      </c>
      <c r="BP47" s="51">
        <f t="shared" si="35"/>
        <v>0</v>
      </c>
      <c r="BQ47" s="51">
        <f t="shared" si="35"/>
        <v>0.1444141689373297</v>
      </c>
      <c r="BR47" s="211"/>
      <c r="BS47" s="211"/>
      <c r="BT47" s="57"/>
      <c r="BU47" s="57"/>
    </row>
    <row r="48" spans="1:73" s="11" customFormat="1" x14ac:dyDescent="0.25">
      <c r="A48" s="10"/>
      <c r="B48" s="33" t="s">
        <v>257</v>
      </c>
      <c r="C48" s="34">
        <v>1</v>
      </c>
      <c r="D48" s="35">
        <v>1</v>
      </c>
      <c r="E48" s="35">
        <v>1</v>
      </c>
      <c r="F48" s="93"/>
      <c r="G48" s="36"/>
      <c r="H48" s="34">
        <v>8</v>
      </c>
      <c r="I48" s="35">
        <v>8</v>
      </c>
      <c r="J48" s="35">
        <v>8</v>
      </c>
      <c r="K48" s="93"/>
      <c r="L48" s="36"/>
      <c r="M48" s="34"/>
      <c r="N48" s="35"/>
      <c r="O48" s="35"/>
      <c r="P48" s="93"/>
      <c r="Q48" s="36"/>
      <c r="R48" s="34"/>
      <c r="S48" s="35"/>
      <c r="T48" s="35"/>
      <c r="U48" s="35"/>
      <c r="V48" s="35"/>
      <c r="W48" s="93"/>
      <c r="X48" s="36"/>
      <c r="Y48" s="34" t="s">
        <v>99</v>
      </c>
      <c r="Z48" s="35" t="s">
        <v>100</v>
      </c>
      <c r="AA48" s="35" t="s">
        <v>100</v>
      </c>
      <c r="AB48" s="93" t="s">
        <v>101</v>
      </c>
      <c r="AC48" s="35" t="s">
        <v>101</v>
      </c>
      <c r="AD48" s="154"/>
      <c r="AE48" s="90"/>
      <c r="AF48" s="38">
        <v>1225.3499999999999</v>
      </c>
      <c r="AG48" s="39">
        <v>1600.53</v>
      </c>
      <c r="AH48" s="39">
        <v>1978.76</v>
      </c>
      <c r="AI48" s="39">
        <v>1978.76</v>
      </c>
      <c r="AJ48" s="39">
        <v>2283.12</v>
      </c>
      <c r="AK48" s="182"/>
      <c r="AL48" s="40"/>
      <c r="AM48" s="38"/>
      <c r="AN48" s="39"/>
      <c r="AO48" s="39"/>
      <c r="AP48" s="39"/>
      <c r="AQ48" s="39"/>
      <c r="AR48" s="182"/>
      <c r="AS48" s="40"/>
      <c r="AT48" s="41">
        <f t="shared" si="26"/>
        <v>0</v>
      </c>
      <c r="AU48" s="42">
        <f t="shared" si="27"/>
        <v>0</v>
      </c>
      <c r="AV48" s="42">
        <f t="shared" si="28"/>
        <v>0</v>
      </c>
      <c r="AW48" s="42">
        <f t="shared" si="29"/>
        <v>0</v>
      </c>
      <c r="AX48" s="42">
        <f t="shared" si="30"/>
        <v>0</v>
      </c>
      <c r="AY48" s="183"/>
      <c r="AZ48" s="43"/>
      <c r="BA48" s="41" t="s">
        <v>226</v>
      </c>
      <c r="BB48" s="44"/>
      <c r="BC48" s="44"/>
      <c r="BD48" s="44"/>
      <c r="BE48" s="44"/>
      <c r="BF48" s="184"/>
      <c r="BG48" s="45"/>
      <c r="BH48" s="34" t="s">
        <v>226</v>
      </c>
      <c r="BI48" s="46"/>
      <c r="BJ48" s="46"/>
      <c r="BK48" s="46"/>
      <c r="BL48" s="46"/>
      <c r="BM48" s="185"/>
      <c r="BN48" s="47"/>
      <c r="BO48" s="41"/>
      <c r="BP48" s="42"/>
      <c r="BQ48" s="42"/>
      <c r="BR48" s="183"/>
      <c r="BS48" s="183"/>
      <c r="BT48" s="48"/>
      <c r="BU48" s="48"/>
    </row>
    <row r="49" spans="1:73" s="11" customFormat="1" x14ac:dyDescent="0.25">
      <c r="A49" s="10"/>
      <c r="B49" s="33" t="s">
        <v>258</v>
      </c>
      <c r="C49" s="34">
        <v>0</v>
      </c>
      <c r="D49" s="35">
        <v>0</v>
      </c>
      <c r="E49" s="35">
        <v>0</v>
      </c>
      <c r="F49" s="93"/>
      <c r="G49" s="36"/>
      <c r="H49" s="34">
        <v>27</v>
      </c>
      <c r="I49" s="35">
        <v>26</v>
      </c>
      <c r="J49" s="35">
        <v>26</v>
      </c>
      <c r="K49" s="93"/>
      <c r="L49" s="36"/>
      <c r="M49" s="34">
        <v>10</v>
      </c>
      <c r="N49" s="35">
        <v>10</v>
      </c>
      <c r="O49" s="35">
        <v>8</v>
      </c>
      <c r="P49" s="93"/>
      <c r="Q49" s="36"/>
      <c r="R49" s="34"/>
      <c r="S49" s="35"/>
      <c r="T49" s="35"/>
      <c r="U49" s="35"/>
      <c r="V49" s="35"/>
      <c r="W49" s="93"/>
      <c r="X49" s="36"/>
      <c r="Y49" s="34" t="s">
        <v>102</v>
      </c>
      <c r="Z49" s="35" t="s">
        <v>102</v>
      </c>
      <c r="AA49" s="35" t="s">
        <v>101</v>
      </c>
      <c r="AB49" s="93" t="s">
        <v>101</v>
      </c>
      <c r="AC49" s="35" t="s">
        <v>101</v>
      </c>
      <c r="AD49" s="154"/>
      <c r="AE49" s="90"/>
      <c r="AF49" s="38">
        <v>6885.03</v>
      </c>
      <c r="AG49" s="39">
        <v>5356.78</v>
      </c>
      <c r="AH49" s="39">
        <v>5121.79</v>
      </c>
      <c r="AI49" s="39">
        <v>6746.08</v>
      </c>
      <c r="AJ49" s="39">
        <v>6313.85</v>
      </c>
      <c r="AK49" s="182"/>
      <c r="AL49" s="40"/>
      <c r="AM49" s="38">
        <v>2484.25</v>
      </c>
      <c r="AN49" s="39">
        <v>343.02</v>
      </c>
      <c r="AO49" s="39"/>
      <c r="AP49" s="39">
        <v>298.14</v>
      </c>
      <c r="AQ49" s="39">
        <v>810.67</v>
      </c>
      <c r="AR49" s="182"/>
      <c r="AS49" s="40"/>
      <c r="AT49" s="41">
        <f t="shared" si="26"/>
        <v>0.36081905234980821</v>
      </c>
      <c r="AU49" s="42">
        <f t="shared" si="27"/>
        <v>6.4034737286205512E-2</v>
      </c>
      <c r="AV49" s="42">
        <f t="shared" si="28"/>
        <v>0</v>
      </c>
      <c r="AW49" s="42">
        <f t="shared" si="29"/>
        <v>4.419455446718687E-2</v>
      </c>
      <c r="AX49" s="42">
        <f t="shared" si="30"/>
        <v>0.12839551145497596</v>
      </c>
      <c r="AY49" s="183"/>
      <c r="AZ49" s="43"/>
      <c r="BA49" s="41" t="s">
        <v>226</v>
      </c>
      <c r="BB49" s="44">
        <f t="shared" si="9"/>
        <v>-29.678431506360269</v>
      </c>
      <c r="BC49" s="44">
        <f t="shared" si="10"/>
        <v>-36.081905234980823</v>
      </c>
      <c r="BD49" s="44">
        <f t="shared" si="11"/>
        <v>-31.662449788262137</v>
      </c>
      <c r="BE49" s="44">
        <f>(AX49-$AT49)*100</f>
        <v>-23.242354089483225</v>
      </c>
      <c r="BF49" s="184"/>
      <c r="BG49" s="45"/>
      <c r="BH49" s="34" t="s">
        <v>226</v>
      </c>
      <c r="BI49" s="46">
        <f t="shared" si="13"/>
        <v>-29.678431506360269</v>
      </c>
      <c r="BJ49" s="46">
        <f t="shared" si="14"/>
        <v>-6.4034737286205514</v>
      </c>
      <c r="BK49" s="46">
        <f t="shared" si="7"/>
        <v>4.4194554467186871</v>
      </c>
      <c r="BL49" s="46">
        <f>(AX49-AW49)*100</f>
        <v>8.4200956987789102</v>
      </c>
      <c r="BM49" s="185"/>
      <c r="BN49" s="47"/>
      <c r="BO49" s="41">
        <f t="shared" ref="BO49:BQ51" si="36">T49/M49</f>
        <v>0</v>
      </c>
      <c r="BP49" s="42">
        <f t="shared" si="36"/>
        <v>0</v>
      </c>
      <c r="BQ49" s="42">
        <f t="shared" si="36"/>
        <v>0</v>
      </c>
      <c r="BR49" s="183"/>
      <c r="BS49" s="183"/>
      <c r="BT49" s="48"/>
      <c r="BU49" s="48"/>
    </row>
    <row r="50" spans="1:73" s="24" customFormat="1" x14ac:dyDescent="0.25">
      <c r="A50" s="12"/>
      <c r="B50" s="17" t="s">
        <v>304</v>
      </c>
      <c r="C50" s="2">
        <v>0</v>
      </c>
      <c r="D50" s="3">
        <v>0</v>
      </c>
      <c r="E50" s="3">
        <v>0</v>
      </c>
      <c r="F50" s="144"/>
      <c r="G50" s="4">
        <v>32</v>
      </c>
      <c r="H50" s="2">
        <v>3785</v>
      </c>
      <c r="I50" s="3">
        <v>3779</v>
      </c>
      <c r="J50" s="3">
        <v>3781</v>
      </c>
      <c r="K50" s="144"/>
      <c r="L50" s="4">
        <v>3679</v>
      </c>
      <c r="M50" s="2">
        <v>228</v>
      </c>
      <c r="N50" s="3">
        <v>268</v>
      </c>
      <c r="O50" s="3">
        <v>367</v>
      </c>
      <c r="P50" s="144"/>
      <c r="Q50" s="4">
        <v>374</v>
      </c>
      <c r="R50" s="2">
        <v>3</v>
      </c>
      <c r="S50" s="3">
        <v>4</v>
      </c>
      <c r="T50" s="3">
        <v>11</v>
      </c>
      <c r="U50" s="3">
        <v>0</v>
      </c>
      <c r="V50" s="3">
        <v>53</v>
      </c>
      <c r="W50" s="144"/>
      <c r="X50" s="4">
        <v>8</v>
      </c>
      <c r="Y50" s="2">
        <v>22.71</v>
      </c>
      <c r="Z50" s="49">
        <v>24</v>
      </c>
      <c r="AA50" s="3">
        <v>35.729999999999997</v>
      </c>
      <c r="AB50" s="144">
        <v>35.729999999999997</v>
      </c>
      <c r="AC50" s="3">
        <v>35.729999999999997</v>
      </c>
      <c r="AD50" s="153"/>
      <c r="AE50" s="86">
        <v>40.86</v>
      </c>
      <c r="AF50" s="19">
        <v>313231</v>
      </c>
      <c r="AG50" s="20">
        <v>319495</v>
      </c>
      <c r="AH50" s="20">
        <v>425119</v>
      </c>
      <c r="AI50" s="20">
        <v>598855</v>
      </c>
      <c r="AJ50" s="20">
        <v>578396</v>
      </c>
      <c r="AK50" s="210"/>
      <c r="AL50" s="21">
        <v>844237</v>
      </c>
      <c r="AM50" s="19">
        <v>41346</v>
      </c>
      <c r="AN50" s="20">
        <v>30672</v>
      </c>
      <c r="AO50" s="20">
        <v>38218</v>
      </c>
      <c r="AP50" s="20">
        <v>74258</v>
      </c>
      <c r="AQ50" s="20">
        <v>67672</v>
      </c>
      <c r="AR50" s="210"/>
      <c r="AS50" s="21">
        <v>181240</v>
      </c>
      <c r="AT50" s="50">
        <f t="shared" ref="AT50:AX51" si="37">AM50/AF50</f>
        <v>0.13199842927424169</v>
      </c>
      <c r="AU50" s="51">
        <f t="shared" si="37"/>
        <v>9.6001502370929123E-2</v>
      </c>
      <c r="AV50" s="51">
        <f t="shared" si="37"/>
        <v>8.9899534012829352E-2</v>
      </c>
      <c r="AW50" s="51">
        <f t="shared" si="37"/>
        <v>0.12399996660293393</v>
      </c>
      <c r="AX50" s="51">
        <f t="shared" si="37"/>
        <v>0.11699942599879667</v>
      </c>
      <c r="AY50" s="211"/>
      <c r="AZ50" s="52">
        <f t="shared" si="6"/>
        <v>0.21467905339377449</v>
      </c>
      <c r="BA50" s="50"/>
      <c r="BB50" s="53">
        <f t="shared" ref="BB50:BD50" si="38">(AU50-$AT50)*100</f>
        <v>-3.5996926903312563</v>
      </c>
      <c r="BC50" s="53">
        <f t="shared" si="38"/>
        <v>-4.2098895261412332</v>
      </c>
      <c r="BD50" s="53">
        <f t="shared" si="38"/>
        <v>-0.79984626713077578</v>
      </c>
      <c r="BE50" s="53">
        <f>(AX50-$AT50)*100</f>
        <v>-1.4999003275445011</v>
      </c>
      <c r="BF50" s="212"/>
      <c r="BG50" s="54">
        <f t="shared" si="23"/>
        <v>8.2680624119532808</v>
      </c>
      <c r="BH50" s="2"/>
      <c r="BI50" s="55">
        <f t="shared" ref="BI50:BK51" si="39">(AU50-AT50)*100</f>
        <v>-3.5996926903312563</v>
      </c>
      <c r="BJ50" s="55">
        <f t="shared" si="39"/>
        <v>-0.61019683580997719</v>
      </c>
      <c r="BK50" s="55">
        <f t="shared" si="39"/>
        <v>3.4100432590104575</v>
      </c>
      <c r="BL50" s="55">
        <f>(AX50-AW50)*100</f>
        <v>-0.70005406041372531</v>
      </c>
      <c r="BM50" s="213"/>
      <c r="BN50" s="56"/>
      <c r="BO50" s="50">
        <f t="shared" si="36"/>
        <v>4.8245614035087717E-2</v>
      </c>
      <c r="BP50" s="51">
        <f t="shared" si="36"/>
        <v>0</v>
      </c>
      <c r="BQ50" s="51">
        <f t="shared" si="36"/>
        <v>0.1444141689373297</v>
      </c>
      <c r="BR50" s="211"/>
      <c r="BS50" s="211">
        <f>X50/Q50</f>
        <v>2.1390374331550801E-2</v>
      </c>
      <c r="BT50" s="57"/>
      <c r="BU50" s="57"/>
    </row>
    <row r="51" spans="1:73" s="22" customFormat="1" x14ac:dyDescent="0.25">
      <c r="A51" s="13"/>
      <c r="B51" s="59" t="s">
        <v>305</v>
      </c>
      <c r="C51" s="60">
        <v>0</v>
      </c>
      <c r="D51" s="61">
        <v>0</v>
      </c>
      <c r="E51" s="61">
        <v>0</v>
      </c>
      <c r="F51" s="145"/>
      <c r="G51" s="62">
        <v>0</v>
      </c>
      <c r="H51" s="60">
        <v>114</v>
      </c>
      <c r="I51" s="61">
        <v>116</v>
      </c>
      <c r="J51" s="61">
        <v>115</v>
      </c>
      <c r="K51" s="145"/>
      <c r="L51" s="62">
        <v>116</v>
      </c>
      <c r="M51" s="60">
        <v>91</v>
      </c>
      <c r="N51" s="61">
        <v>100</v>
      </c>
      <c r="O51" s="61">
        <v>120</v>
      </c>
      <c r="P51" s="145"/>
      <c r="Q51" s="62">
        <v>34</v>
      </c>
      <c r="R51" s="60">
        <v>0</v>
      </c>
      <c r="S51" s="61">
        <v>0</v>
      </c>
      <c r="T51" s="61">
        <v>0</v>
      </c>
      <c r="U51" s="61">
        <v>0</v>
      </c>
      <c r="V51" s="61">
        <v>0</v>
      </c>
      <c r="W51" s="145"/>
      <c r="X51" s="62">
        <v>1</v>
      </c>
      <c r="Y51" s="60" t="s">
        <v>307</v>
      </c>
      <c r="Z51" s="63" t="s">
        <v>308</v>
      </c>
      <c r="AA51" s="61" t="s">
        <v>309</v>
      </c>
      <c r="AB51" s="145" t="s">
        <v>310</v>
      </c>
      <c r="AC51" s="61" t="s">
        <v>310</v>
      </c>
      <c r="AD51" s="152"/>
      <c r="AE51" s="61" t="s">
        <v>310</v>
      </c>
      <c r="AF51" s="270">
        <v>12027</v>
      </c>
      <c r="AG51" s="65">
        <v>12468</v>
      </c>
      <c r="AH51" s="65">
        <v>15969</v>
      </c>
      <c r="AI51" s="65">
        <v>22239</v>
      </c>
      <c r="AJ51" s="65">
        <v>30446</v>
      </c>
      <c r="AK51" s="196"/>
      <c r="AL51" s="66">
        <v>32552</v>
      </c>
      <c r="AM51" s="270">
        <v>0</v>
      </c>
      <c r="AN51" s="65">
        <v>2608</v>
      </c>
      <c r="AO51" s="65">
        <v>3751</v>
      </c>
      <c r="AP51" s="65">
        <v>4512</v>
      </c>
      <c r="AQ51" s="65">
        <v>3863</v>
      </c>
      <c r="AR51" s="196"/>
      <c r="AS51" s="66">
        <v>11401</v>
      </c>
      <c r="AT51" s="276">
        <f t="shared" si="37"/>
        <v>0</v>
      </c>
      <c r="AU51" s="67">
        <f t="shared" si="37"/>
        <v>0.20917548925248636</v>
      </c>
      <c r="AV51" s="67">
        <f t="shared" si="37"/>
        <v>0.23489260442106583</v>
      </c>
      <c r="AW51" s="67">
        <f t="shared" si="37"/>
        <v>0.20288682045055983</v>
      </c>
      <c r="AX51" s="67">
        <f t="shared" si="37"/>
        <v>0.12688037837482757</v>
      </c>
      <c r="AY51" s="190"/>
      <c r="AZ51" s="68">
        <f t="shared" si="6"/>
        <v>0.35023961661341851</v>
      </c>
      <c r="BA51" s="276"/>
      <c r="BB51" s="69"/>
      <c r="BC51" s="69"/>
      <c r="BD51" s="69"/>
      <c r="BE51" s="69"/>
      <c r="BF51" s="199"/>
      <c r="BG51" s="70"/>
      <c r="BH51" s="60"/>
      <c r="BI51" s="71">
        <f t="shared" si="39"/>
        <v>20.917548925248635</v>
      </c>
      <c r="BJ51" s="71">
        <f t="shared" si="39"/>
        <v>2.5717115168579467</v>
      </c>
      <c r="BK51" s="71">
        <f t="shared" si="39"/>
        <v>-3.2005783970505992</v>
      </c>
      <c r="BL51" s="71">
        <f>(AX51-AW51)*100</f>
        <v>-7.6006442075732261</v>
      </c>
      <c r="BM51" s="200"/>
      <c r="BN51" s="72"/>
      <c r="BO51" s="276">
        <f t="shared" si="36"/>
        <v>0</v>
      </c>
      <c r="BP51" s="67">
        <f t="shared" si="36"/>
        <v>0</v>
      </c>
      <c r="BQ51" s="67">
        <f t="shared" si="36"/>
        <v>0</v>
      </c>
      <c r="BR51" s="190"/>
      <c r="BS51" s="190">
        <f>X51/Q51</f>
        <v>2.9411764705882353E-2</v>
      </c>
      <c r="BT51" s="73"/>
      <c r="BU51" s="73"/>
    </row>
    <row r="52" spans="1:73" s="14" customFormat="1" x14ac:dyDescent="0.25">
      <c r="A52" s="13">
        <v>26</v>
      </c>
      <c r="B52" s="59" t="s">
        <v>289</v>
      </c>
      <c r="C52" s="60">
        <v>107</v>
      </c>
      <c r="D52" s="61">
        <v>107</v>
      </c>
      <c r="E52" s="61">
        <v>107</v>
      </c>
      <c r="F52" s="145">
        <v>107</v>
      </c>
      <c r="G52" s="62">
        <v>108</v>
      </c>
      <c r="H52" s="60">
        <v>14</v>
      </c>
      <c r="I52" s="61">
        <v>15</v>
      </c>
      <c r="J52" s="61">
        <v>15</v>
      </c>
      <c r="K52" s="145">
        <v>62</v>
      </c>
      <c r="L52" s="62">
        <v>54</v>
      </c>
      <c r="M52" s="60">
        <v>0</v>
      </c>
      <c r="N52" s="61">
        <v>0</v>
      </c>
      <c r="O52" s="61">
        <v>0</v>
      </c>
      <c r="P52" s="145">
        <v>20</v>
      </c>
      <c r="Q52" s="62">
        <v>26</v>
      </c>
      <c r="R52" s="60">
        <v>0</v>
      </c>
      <c r="S52" s="61">
        <v>0</v>
      </c>
      <c r="T52" s="61">
        <v>0</v>
      </c>
      <c r="U52" s="61">
        <v>0</v>
      </c>
      <c r="V52" s="61">
        <v>0</v>
      </c>
      <c r="W52" s="145">
        <v>2</v>
      </c>
      <c r="X52" s="62">
        <v>6</v>
      </c>
      <c r="Y52" s="60">
        <v>26.29</v>
      </c>
      <c r="Z52" s="63">
        <v>27.5</v>
      </c>
      <c r="AA52" s="61">
        <v>34.65</v>
      </c>
      <c r="AB52" s="145">
        <v>37.93</v>
      </c>
      <c r="AC52" s="61">
        <v>38.46</v>
      </c>
      <c r="AD52" s="152">
        <v>36.799999999999997</v>
      </c>
      <c r="AE52" s="64">
        <v>39.270000000000003</v>
      </c>
      <c r="AF52" s="270">
        <v>868977</v>
      </c>
      <c r="AG52" s="65">
        <v>848053</v>
      </c>
      <c r="AH52" s="65">
        <v>1112933</v>
      </c>
      <c r="AI52" s="65">
        <v>1423181</v>
      </c>
      <c r="AJ52" s="65">
        <v>1172151</v>
      </c>
      <c r="AK52" s="196">
        <v>1400014</v>
      </c>
      <c r="AL52" s="66">
        <v>1380229</v>
      </c>
      <c r="AM52" s="270">
        <v>24626</v>
      </c>
      <c r="AN52" s="65">
        <v>15328</v>
      </c>
      <c r="AO52" s="65">
        <v>29585</v>
      </c>
      <c r="AP52" s="65">
        <v>79653</v>
      </c>
      <c r="AQ52" s="65">
        <v>95355</v>
      </c>
      <c r="AR52" s="196">
        <v>86629</v>
      </c>
      <c r="AS52" s="66">
        <v>139162</v>
      </c>
      <c r="AT52" s="276">
        <f t="shared" si="26"/>
        <v>2.8339069963877063E-2</v>
      </c>
      <c r="AU52" s="67">
        <f t="shared" si="27"/>
        <v>1.8074342051734974E-2</v>
      </c>
      <c r="AV52" s="67">
        <f t="shared" si="28"/>
        <v>2.6582911999194919E-2</v>
      </c>
      <c r="AW52" s="67">
        <f t="shared" si="29"/>
        <v>5.596828513028209E-2</v>
      </c>
      <c r="AX52" s="67">
        <f t="shared" si="30"/>
        <v>8.1350440344290106E-2</v>
      </c>
      <c r="AY52" s="190">
        <f t="shared" si="5"/>
        <v>6.1877238370473438E-2</v>
      </c>
      <c r="AZ52" s="68">
        <f t="shared" si="6"/>
        <v>0.1008252978310121</v>
      </c>
      <c r="BA52" s="276" t="s">
        <v>226</v>
      </c>
      <c r="BB52" s="69">
        <f t="shared" si="9"/>
        <v>-1.0264727912142089</v>
      </c>
      <c r="BC52" s="69">
        <f t="shared" si="10"/>
        <v>-0.17561579646821446</v>
      </c>
      <c r="BD52" s="69">
        <f t="shared" si="11"/>
        <v>2.7629215166405028</v>
      </c>
      <c r="BE52" s="69">
        <f>(AX52-$AT52)*100</f>
        <v>5.3011370380413041</v>
      </c>
      <c r="BF52" s="199">
        <f t="shared" si="12"/>
        <v>3.3538168406596376</v>
      </c>
      <c r="BG52" s="70">
        <f t="shared" si="23"/>
        <v>7.2486227867135042</v>
      </c>
      <c r="BH52" s="60" t="s">
        <v>226</v>
      </c>
      <c r="BI52" s="71">
        <f t="shared" si="13"/>
        <v>-1.0264727912142089</v>
      </c>
      <c r="BJ52" s="71">
        <f t="shared" si="14"/>
        <v>0.85085699474599441</v>
      </c>
      <c r="BK52" s="71">
        <f t="shared" si="7"/>
        <v>2.9385373131087174</v>
      </c>
      <c r="BL52" s="71">
        <f>(AX52-AW52)*100</f>
        <v>2.5382155214008018</v>
      </c>
      <c r="BM52" s="200">
        <f t="shared" si="15"/>
        <v>-1.947320197381667</v>
      </c>
      <c r="BN52" s="72">
        <f t="shared" si="8"/>
        <v>3.8948059460538662</v>
      </c>
      <c r="BO52" s="276"/>
      <c r="BP52" s="67"/>
      <c r="BQ52" s="67"/>
      <c r="BR52" s="67">
        <f>W52/P52</f>
        <v>0.1</v>
      </c>
      <c r="BS52" s="418">
        <f>X52/Q52</f>
        <v>0.23076923076923078</v>
      </c>
      <c r="BT52" s="73">
        <f t="shared" si="24"/>
        <v>6.7119565217391472E-2</v>
      </c>
      <c r="BU52" s="73">
        <f>(Q52-P52)/P52</f>
        <v>0.3</v>
      </c>
    </row>
    <row r="53" spans="1:73" x14ac:dyDescent="0.25">
      <c r="A53" s="15">
        <v>27</v>
      </c>
      <c r="B53" s="74" t="s">
        <v>16</v>
      </c>
      <c r="C53" s="246"/>
      <c r="D53" s="75"/>
      <c r="E53" s="75"/>
      <c r="F53" s="146"/>
      <c r="G53" s="76"/>
      <c r="H53" s="246"/>
      <c r="I53" s="75"/>
      <c r="J53" s="75"/>
      <c r="K53" s="146"/>
      <c r="L53" s="76"/>
      <c r="M53" s="246"/>
      <c r="N53" s="75"/>
      <c r="O53" s="75"/>
      <c r="P53" s="146"/>
      <c r="Q53" s="76"/>
      <c r="R53" s="246"/>
      <c r="S53" s="75"/>
      <c r="T53" s="75"/>
      <c r="U53" s="75"/>
      <c r="V53" s="75"/>
      <c r="W53" s="146"/>
      <c r="X53" s="76"/>
      <c r="Y53" s="246"/>
      <c r="Z53" s="75"/>
      <c r="AA53" s="75"/>
      <c r="AB53" s="146"/>
      <c r="AC53" s="75"/>
      <c r="AD53" s="258"/>
      <c r="AE53" s="160"/>
      <c r="AF53" s="271"/>
      <c r="AG53" s="77"/>
      <c r="AH53" s="77"/>
      <c r="AI53" s="77"/>
      <c r="AJ53" s="77"/>
      <c r="AK53" s="265"/>
      <c r="AL53" s="78"/>
      <c r="AM53" s="271"/>
      <c r="AN53" s="77"/>
      <c r="AO53" s="77"/>
      <c r="AP53" s="77"/>
      <c r="AQ53" s="77"/>
      <c r="AR53" s="265"/>
      <c r="AS53" s="78"/>
      <c r="AT53" s="277"/>
      <c r="AU53" s="79"/>
      <c r="AV53" s="79"/>
      <c r="AW53" s="79"/>
      <c r="AX53" s="79"/>
      <c r="AY53" s="274"/>
      <c r="AZ53" s="80"/>
      <c r="BA53" s="277" t="s">
        <v>226</v>
      </c>
      <c r="BB53" s="81"/>
      <c r="BC53" s="81"/>
      <c r="BD53" s="81"/>
      <c r="BE53" s="81"/>
      <c r="BF53" s="282"/>
      <c r="BG53" s="82"/>
      <c r="BH53" s="246" t="s">
        <v>226</v>
      </c>
      <c r="BI53" s="83"/>
      <c r="BJ53" s="83"/>
      <c r="BK53" s="83"/>
      <c r="BL53" s="83"/>
      <c r="BM53" s="286"/>
      <c r="BN53" s="84"/>
      <c r="BO53" s="277"/>
      <c r="BP53" s="79"/>
      <c r="BQ53" s="79"/>
      <c r="BR53" s="274"/>
      <c r="BS53" s="274"/>
      <c r="BT53" s="419"/>
      <c r="BU53" s="419"/>
    </row>
    <row r="54" spans="1:73" s="11" customFormat="1" x14ac:dyDescent="0.25">
      <c r="A54" s="10">
        <v>28</v>
      </c>
      <c r="B54" s="33" t="s">
        <v>348</v>
      </c>
      <c r="C54" s="34"/>
      <c r="D54" s="35"/>
      <c r="E54" s="35"/>
      <c r="F54" s="93">
        <v>1</v>
      </c>
      <c r="G54" s="36"/>
      <c r="H54" s="34"/>
      <c r="I54" s="35"/>
      <c r="J54" s="35"/>
      <c r="K54" s="93">
        <v>11</v>
      </c>
      <c r="L54" s="36"/>
      <c r="M54" s="34"/>
      <c r="N54" s="35"/>
      <c r="O54" s="35"/>
      <c r="P54" s="93">
        <v>9</v>
      </c>
      <c r="Q54" s="36"/>
      <c r="R54" s="34"/>
      <c r="S54" s="35"/>
      <c r="T54" s="35"/>
      <c r="U54" s="35"/>
      <c r="V54" s="35"/>
      <c r="W54" s="93">
        <v>0</v>
      </c>
      <c r="X54" s="36"/>
      <c r="Y54" s="34"/>
      <c r="Z54" s="35"/>
      <c r="AA54" s="35"/>
      <c r="AB54" s="93"/>
      <c r="AC54" s="35"/>
      <c r="AD54" s="154">
        <v>47.9</v>
      </c>
      <c r="AE54" s="90"/>
      <c r="AF54" s="38"/>
      <c r="AG54" s="39"/>
      <c r="AH54" s="39"/>
      <c r="AI54" s="39"/>
      <c r="AJ54" s="39"/>
      <c r="AK54" s="182">
        <v>3641.97</v>
      </c>
      <c r="AL54" s="40"/>
      <c r="AM54" s="38"/>
      <c r="AN54" s="39"/>
      <c r="AO54" s="39"/>
      <c r="AP54" s="39"/>
      <c r="AQ54" s="39"/>
      <c r="AR54" s="182">
        <v>1083.19</v>
      </c>
      <c r="AS54" s="40"/>
      <c r="AT54" s="41"/>
      <c r="AU54" s="42"/>
      <c r="AV54" s="42"/>
      <c r="AW54" s="42"/>
      <c r="AX54" s="42"/>
      <c r="AY54" s="183">
        <f t="shared" si="5"/>
        <v>0.29741870471201026</v>
      </c>
      <c r="AZ54" s="43"/>
      <c r="BA54" s="41" t="s">
        <v>226</v>
      </c>
      <c r="BB54" s="44"/>
      <c r="BC54" s="44"/>
      <c r="BD54" s="44"/>
      <c r="BE54" s="44"/>
      <c r="BF54" s="184"/>
      <c r="BG54" s="45"/>
      <c r="BH54" s="34" t="s">
        <v>226</v>
      </c>
      <c r="BI54" s="46"/>
      <c r="BJ54" s="46"/>
      <c r="BK54" s="46"/>
      <c r="BL54" s="46"/>
      <c r="BM54" s="185"/>
      <c r="BN54" s="47"/>
      <c r="BO54" s="41"/>
      <c r="BP54" s="42"/>
      <c r="BQ54" s="42"/>
      <c r="BR54" s="183">
        <f>W54/P54</f>
        <v>0</v>
      </c>
      <c r="BS54" s="183"/>
      <c r="BT54" s="48"/>
      <c r="BU54" s="48"/>
    </row>
    <row r="55" spans="1:73" s="14" customFormat="1" x14ac:dyDescent="0.25">
      <c r="A55" s="13"/>
      <c r="B55" s="59" t="s">
        <v>413</v>
      </c>
      <c r="C55" s="60"/>
      <c r="D55" s="61"/>
      <c r="E55" s="61"/>
      <c r="F55" s="145"/>
      <c r="G55" s="62">
        <v>4</v>
      </c>
      <c r="H55" s="60"/>
      <c r="I55" s="61"/>
      <c r="J55" s="61"/>
      <c r="K55" s="145"/>
      <c r="L55" s="62">
        <v>175</v>
      </c>
      <c r="M55" s="60"/>
      <c r="N55" s="61"/>
      <c r="O55" s="61"/>
      <c r="P55" s="145"/>
      <c r="Q55" s="62">
        <v>81</v>
      </c>
      <c r="R55" s="60"/>
      <c r="S55" s="61"/>
      <c r="T55" s="61"/>
      <c r="U55" s="61"/>
      <c r="V55" s="61"/>
      <c r="W55" s="145"/>
      <c r="X55" s="62">
        <v>3</v>
      </c>
      <c r="Y55" s="60"/>
      <c r="Z55" s="61"/>
      <c r="AA55" s="61"/>
      <c r="AB55" s="145"/>
      <c r="AC55" s="61"/>
      <c r="AD55" s="152"/>
      <c r="AE55" s="64">
        <v>47.15</v>
      </c>
      <c r="AF55" s="270"/>
      <c r="AG55" s="65"/>
      <c r="AH55" s="65"/>
      <c r="AI55" s="65"/>
      <c r="AJ55" s="65"/>
      <c r="AK55" s="196"/>
      <c r="AL55" s="66">
        <v>25319</v>
      </c>
      <c r="AM55" s="270"/>
      <c r="AN55" s="65"/>
      <c r="AO55" s="65"/>
      <c r="AP55" s="65"/>
      <c r="AQ55" s="65"/>
      <c r="AR55" s="196"/>
      <c r="AS55" s="66">
        <v>8015</v>
      </c>
      <c r="AT55" s="276"/>
      <c r="AU55" s="67"/>
      <c r="AV55" s="67"/>
      <c r="AW55" s="67"/>
      <c r="AX55" s="67"/>
      <c r="AY55" s="190"/>
      <c r="AZ55" s="68">
        <f t="shared" si="6"/>
        <v>0.31656068565109208</v>
      </c>
      <c r="BA55" s="276"/>
      <c r="BB55" s="69"/>
      <c r="BC55" s="69"/>
      <c r="BD55" s="69"/>
      <c r="BE55" s="69"/>
      <c r="BF55" s="199"/>
      <c r="BG55" s="70"/>
      <c r="BH55" s="60"/>
      <c r="BI55" s="71"/>
      <c r="BJ55" s="71"/>
      <c r="BK55" s="71"/>
      <c r="BL55" s="71"/>
      <c r="BM55" s="200"/>
      <c r="BN55" s="72"/>
      <c r="BO55" s="276"/>
      <c r="BP55" s="67"/>
      <c r="BQ55" s="67"/>
      <c r="BR55" s="190"/>
      <c r="BS55" s="190">
        <f>X55/Q55</f>
        <v>3.7037037037037035E-2</v>
      </c>
      <c r="BT55" s="73"/>
      <c r="BU55" s="73"/>
    </row>
    <row r="56" spans="1:73" s="14" customFormat="1" x14ac:dyDescent="0.25">
      <c r="A56" s="13"/>
      <c r="B56" s="59" t="s">
        <v>414</v>
      </c>
      <c r="C56" s="60"/>
      <c r="D56" s="61"/>
      <c r="E56" s="61"/>
      <c r="F56" s="145"/>
      <c r="G56" s="62">
        <v>2</v>
      </c>
      <c r="H56" s="60"/>
      <c r="I56" s="61"/>
      <c r="J56" s="61"/>
      <c r="K56" s="145"/>
      <c r="L56" s="62">
        <v>58</v>
      </c>
      <c r="M56" s="60"/>
      <c r="N56" s="61"/>
      <c r="O56" s="61"/>
      <c r="P56" s="145"/>
      <c r="Q56" s="62">
        <v>9</v>
      </c>
      <c r="R56" s="60"/>
      <c r="S56" s="61"/>
      <c r="T56" s="61"/>
      <c r="U56" s="61"/>
      <c r="V56" s="61"/>
      <c r="W56" s="145"/>
      <c r="X56" s="62">
        <v>0</v>
      </c>
      <c r="Y56" s="60"/>
      <c r="Z56" s="61"/>
      <c r="AA56" s="61"/>
      <c r="AB56" s="145"/>
      <c r="AC56" s="61"/>
      <c r="AD56" s="152"/>
      <c r="AE56" s="64">
        <v>47.15</v>
      </c>
      <c r="AF56" s="270"/>
      <c r="AG56" s="65"/>
      <c r="AH56" s="65"/>
      <c r="AI56" s="65"/>
      <c r="AJ56" s="65"/>
      <c r="AK56" s="196"/>
      <c r="AL56" s="66">
        <v>11147</v>
      </c>
      <c r="AM56" s="270"/>
      <c r="AN56" s="65"/>
      <c r="AO56" s="65"/>
      <c r="AP56" s="65"/>
      <c r="AQ56" s="65"/>
      <c r="AR56" s="196"/>
      <c r="AS56" s="66">
        <v>2282</v>
      </c>
      <c r="AT56" s="276"/>
      <c r="AU56" s="67"/>
      <c r="AV56" s="67"/>
      <c r="AW56" s="67"/>
      <c r="AX56" s="67"/>
      <c r="AY56" s="190"/>
      <c r="AZ56" s="68">
        <f t="shared" si="6"/>
        <v>0.20471875841033463</v>
      </c>
      <c r="BA56" s="276"/>
      <c r="BB56" s="69"/>
      <c r="BC56" s="69"/>
      <c r="BD56" s="69"/>
      <c r="BE56" s="69"/>
      <c r="BF56" s="199"/>
      <c r="BG56" s="70"/>
      <c r="BH56" s="60"/>
      <c r="BI56" s="71"/>
      <c r="BJ56" s="71"/>
      <c r="BK56" s="71"/>
      <c r="BL56" s="71"/>
      <c r="BM56" s="200"/>
      <c r="BN56" s="72"/>
      <c r="BO56" s="276"/>
      <c r="BP56" s="67"/>
      <c r="BQ56" s="67"/>
      <c r="BR56" s="190"/>
      <c r="BS56" s="190">
        <f>X56/Q56</f>
        <v>0</v>
      </c>
      <c r="BT56" s="73"/>
      <c r="BU56" s="73"/>
    </row>
    <row r="57" spans="1:73" s="14" customFormat="1" x14ac:dyDescent="0.25">
      <c r="A57" s="13"/>
      <c r="B57" s="59" t="s">
        <v>349</v>
      </c>
      <c r="C57" s="60"/>
      <c r="D57" s="61"/>
      <c r="E57" s="61"/>
      <c r="F57" s="145">
        <v>4</v>
      </c>
      <c r="G57" s="62"/>
      <c r="H57" s="60"/>
      <c r="I57" s="61"/>
      <c r="J57" s="61"/>
      <c r="K57" s="145">
        <v>4</v>
      </c>
      <c r="L57" s="62"/>
      <c r="M57" s="60"/>
      <c r="N57" s="61"/>
      <c r="O57" s="61"/>
      <c r="P57" s="145">
        <v>2</v>
      </c>
      <c r="Q57" s="62"/>
      <c r="R57" s="60"/>
      <c r="S57" s="61"/>
      <c r="T57" s="61"/>
      <c r="U57" s="61"/>
      <c r="V57" s="61"/>
      <c r="W57" s="145">
        <v>0</v>
      </c>
      <c r="X57" s="62"/>
      <c r="Y57" s="60"/>
      <c r="Z57" s="61"/>
      <c r="AA57" s="61"/>
      <c r="AB57" s="145"/>
      <c r="AC57" s="61"/>
      <c r="AD57" s="152">
        <v>47.9</v>
      </c>
      <c r="AE57" s="64"/>
      <c r="AF57" s="270"/>
      <c r="AG57" s="65"/>
      <c r="AH57" s="65"/>
      <c r="AI57" s="65"/>
      <c r="AJ57" s="65"/>
      <c r="AK57" s="196">
        <v>1094.3800000000001</v>
      </c>
      <c r="AL57" s="66"/>
      <c r="AM57" s="270"/>
      <c r="AN57" s="65"/>
      <c r="AO57" s="65"/>
      <c r="AP57" s="65"/>
      <c r="AQ57" s="65"/>
      <c r="AR57" s="196">
        <v>648.26</v>
      </c>
      <c r="AS57" s="66"/>
      <c r="AT57" s="276"/>
      <c r="AU57" s="67"/>
      <c r="AV57" s="67"/>
      <c r="AW57" s="67"/>
      <c r="AX57" s="67"/>
      <c r="AY57" s="190">
        <f t="shared" si="5"/>
        <v>0.59235366143387114</v>
      </c>
      <c r="AZ57" s="68"/>
      <c r="BA57" s="276"/>
      <c r="BB57" s="69"/>
      <c r="BC57" s="69"/>
      <c r="BD57" s="69"/>
      <c r="BE57" s="69"/>
      <c r="BF57" s="199"/>
      <c r="BG57" s="70"/>
      <c r="BH57" s="60"/>
      <c r="BI57" s="71"/>
      <c r="BJ57" s="71"/>
      <c r="BK57" s="71"/>
      <c r="BL57" s="71"/>
      <c r="BM57" s="200"/>
      <c r="BN57" s="72"/>
      <c r="BO57" s="276"/>
      <c r="BP57" s="67"/>
      <c r="BQ57" s="67"/>
      <c r="BR57" s="190">
        <f>W57/P57</f>
        <v>0</v>
      </c>
      <c r="BS57" s="190"/>
      <c r="BT57" s="73"/>
      <c r="BU57" s="73"/>
    </row>
    <row r="58" spans="1:73" x14ac:dyDescent="0.25">
      <c r="A58" s="15">
        <v>29</v>
      </c>
      <c r="B58" s="74" t="s">
        <v>17</v>
      </c>
      <c r="C58" s="246"/>
      <c r="D58" s="75"/>
      <c r="E58" s="75"/>
      <c r="F58" s="146"/>
      <c r="G58" s="76"/>
      <c r="H58" s="246"/>
      <c r="I58" s="75"/>
      <c r="J58" s="75"/>
      <c r="K58" s="146"/>
      <c r="L58" s="76"/>
      <c r="M58" s="246"/>
      <c r="N58" s="75"/>
      <c r="O58" s="75"/>
      <c r="P58" s="146"/>
      <c r="Q58" s="76"/>
      <c r="R58" s="246"/>
      <c r="S58" s="75"/>
      <c r="T58" s="75"/>
      <c r="U58" s="75"/>
      <c r="V58" s="75"/>
      <c r="W58" s="146"/>
      <c r="X58" s="76"/>
      <c r="Y58" s="246"/>
      <c r="Z58" s="75"/>
      <c r="AA58" s="75"/>
      <c r="AB58" s="146"/>
      <c r="AC58" s="75"/>
      <c r="AD58" s="258"/>
      <c r="AE58" s="160"/>
      <c r="AF58" s="271"/>
      <c r="AG58" s="77"/>
      <c r="AH58" s="77"/>
      <c r="AI58" s="77"/>
      <c r="AJ58" s="77"/>
      <c r="AK58" s="265"/>
      <c r="AL58" s="78"/>
      <c r="AM58" s="271"/>
      <c r="AN58" s="77"/>
      <c r="AO58" s="77"/>
      <c r="AP58" s="77"/>
      <c r="AQ58" s="77"/>
      <c r="AR58" s="265"/>
      <c r="AS58" s="78"/>
      <c r="AT58" s="277"/>
      <c r="AU58" s="79"/>
      <c r="AV58" s="79"/>
      <c r="AW58" s="79"/>
      <c r="AX58" s="79"/>
      <c r="AY58" s="274"/>
      <c r="AZ58" s="80"/>
      <c r="BA58" s="277" t="s">
        <v>226</v>
      </c>
      <c r="BB58" s="81"/>
      <c r="BC58" s="81"/>
      <c r="BD58" s="81"/>
      <c r="BE58" s="81"/>
      <c r="BF58" s="282"/>
      <c r="BG58" s="82"/>
      <c r="BH58" s="246" t="s">
        <v>226</v>
      </c>
      <c r="BI58" s="83"/>
      <c r="BJ58" s="83"/>
      <c r="BK58" s="83"/>
      <c r="BL58" s="83"/>
      <c r="BM58" s="286"/>
      <c r="BN58" s="84"/>
      <c r="BO58" s="277"/>
      <c r="BP58" s="79"/>
      <c r="BQ58" s="79"/>
      <c r="BR58" s="274"/>
      <c r="BS58" s="274"/>
      <c r="BT58" s="419"/>
      <c r="BU58" s="419"/>
    </row>
    <row r="59" spans="1:73" s="14" customFormat="1" x14ac:dyDescent="0.25">
      <c r="A59" s="13"/>
      <c r="B59" s="59" t="s">
        <v>312</v>
      </c>
      <c r="C59" s="60">
        <v>0</v>
      </c>
      <c r="D59" s="61">
        <v>0</v>
      </c>
      <c r="E59" s="61">
        <v>0</v>
      </c>
      <c r="F59" s="145">
        <v>0</v>
      </c>
      <c r="G59" s="62">
        <v>0</v>
      </c>
      <c r="H59" s="60">
        <v>150</v>
      </c>
      <c r="I59" s="61">
        <v>150</v>
      </c>
      <c r="J59" s="61">
        <v>150</v>
      </c>
      <c r="K59" s="145">
        <v>152</v>
      </c>
      <c r="L59" s="62">
        <v>152</v>
      </c>
      <c r="M59" s="60">
        <v>28</v>
      </c>
      <c r="N59" s="61">
        <v>23</v>
      </c>
      <c r="O59" s="61">
        <v>16</v>
      </c>
      <c r="P59" s="145">
        <v>19</v>
      </c>
      <c r="Q59" s="62">
        <v>15</v>
      </c>
      <c r="R59" s="60">
        <v>2</v>
      </c>
      <c r="S59" s="61">
        <v>0</v>
      </c>
      <c r="T59" s="61">
        <v>2</v>
      </c>
      <c r="U59" s="61">
        <v>0</v>
      </c>
      <c r="V59" s="61">
        <v>0</v>
      </c>
      <c r="W59" s="145">
        <v>0</v>
      </c>
      <c r="X59" s="62">
        <v>0</v>
      </c>
      <c r="Y59" s="60">
        <v>28.93</v>
      </c>
      <c r="Z59" s="61">
        <v>28.93</v>
      </c>
      <c r="AA59" s="63">
        <v>32.5</v>
      </c>
      <c r="AB59" s="145">
        <v>30.45</v>
      </c>
      <c r="AC59" s="61">
        <v>30.45</v>
      </c>
      <c r="AD59" s="145">
        <v>30.45</v>
      </c>
      <c r="AE59" s="145">
        <v>30.45</v>
      </c>
      <c r="AF59" s="270">
        <v>28857</v>
      </c>
      <c r="AG59" s="65">
        <v>32630</v>
      </c>
      <c r="AH59" s="65">
        <v>46013</v>
      </c>
      <c r="AI59" s="65">
        <v>63488</v>
      </c>
      <c r="AJ59" s="65">
        <v>41388</v>
      </c>
      <c r="AK59" s="196">
        <v>56795.16</v>
      </c>
      <c r="AL59" s="66">
        <v>104601.87</v>
      </c>
      <c r="AM59" s="270">
        <v>4077</v>
      </c>
      <c r="AN59" s="65">
        <v>581</v>
      </c>
      <c r="AO59" s="65">
        <v>2306</v>
      </c>
      <c r="AP59" s="65">
        <v>1316</v>
      </c>
      <c r="AQ59" s="65">
        <v>2219</v>
      </c>
      <c r="AR59" s="196">
        <v>5366.93</v>
      </c>
      <c r="AS59" s="66">
        <v>2054.87</v>
      </c>
      <c r="AT59" s="276">
        <f>AM59/AF59</f>
        <v>0.14128287763800812</v>
      </c>
      <c r="AU59" s="67">
        <f>AN59/AG59</f>
        <v>1.7805700275819798E-2</v>
      </c>
      <c r="AV59" s="67">
        <f>AO59/AH59</f>
        <v>5.0116271488492382E-2</v>
      </c>
      <c r="AW59" s="67">
        <f t="shared" ref="AW59" si="40">AP59/AI59</f>
        <v>2.0728326612903226E-2</v>
      </c>
      <c r="AX59" s="67">
        <f t="shared" ref="AX59" si="41">AQ59/AJ59</f>
        <v>5.3614574272736061E-2</v>
      </c>
      <c r="AY59" s="190">
        <f t="shared" si="5"/>
        <v>9.4496256371141479E-2</v>
      </c>
      <c r="AZ59" s="68">
        <f t="shared" si="6"/>
        <v>1.9644677480431277E-2</v>
      </c>
      <c r="BA59" s="276"/>
      <c r="BB59" s="69">
        <f>(AU59-$AT59)*100</f>
        <v>-12.347717736218833</v>
      </c>
      <c r="BC59" s="69">
        <f>(AV59-$AT59)*100</f>
        <v>-9.1166606149515736</v>
      </c>
      <c r="BD59" s="69">
        <f>(AW59-$AT59)*100</f>
        <v>-12.055455102510489</v>
      </c>
      <c r="BE59" s="69">
        <f>(AX59-$AT59)*100</f>
        <v>-8.7668303365272067</v>
      </c>
      <c r="BF59" s="199">
        <f t="shared" si="12"/>
        <v>-4.6786621266866639</v>
      </c>
      <c r="BG59" s="70">
        <f t="shared" si="23"/>
        <v>-12.163820015757684</v>
      </c>
      <c r="BH59" s="60"/>
      <c r="BI59" s="71">
        <f>(AU59-AT59)*100</f>
        <v>-12.347717736218833</v>
      </c>
      <c r="BJ59" s="71">
        <f>(AV59-AU59)*100</f>
        <v>3.2310571212672583</v>
      </c>
      <c r="BK59" s="71">
        <f>(AW59-AV59)*100</f>
        <v>-2.9387944875589156</v>
      </c>
      <c r="BL59" s="71">
        <f>(AX59-AW59)*100</f>
        <v>3.2886247659832835</v>
      </c>
      <c r="BM59" s="200">
        <f t="shared" si="15"/>
        <v>4.0881682098405419</v>
      </c>
      <c r="BN59" s="72">
        <f t="shared" si="8"/>
        <v>-7.4851578890710204</v>
      </c>
      <c r="BO59" s="276">
        <f>T59/M59</f>
        <v>7.1428571428571425E-2</v>
      </c>
      <c r="BP59" s="67">
        <f>U59/N59</f>
        <v>0</v>
      </c>
      <c r="BQ59" s="67">
        <f>V59/O59</f>
        <v>0</v>
      </c>
      <c r="BR59" s="190">
        <f>W59/P59</f>
        <v>0</v>
      </c>
      <c r="BS59" s="190">
        <f>X59/Q59</f>
        <v>0</v>
      </c>
      <c r="BT59" s="73">
        <f t="shared" si="24"/>
        <v>0</v>
      </c>
      <c r="BU59" s="73">
        <f>(Q59-P59)/P59</f>
        <v>-0.21052631578947367</v>
      </c>
    </row>
    <row r="60" spans="1:73" s="14" customFormat="1" x14ac:dyDescent="0.25">
      <c r="A60" s="13"/>
      <c r="B60" s="59" t="s">
        <v>325</v>
      </c>
      <c r="C60" s="60"/>
      <c r="D60" s="61"/>
      <c r="E60" s="61"/>
      <c r="F60" s="145">
        <v>3</v>
      </c>
      <c r="G60" s="62">
        <v>0</v>
      </c>
      <c r="H60" s="60"/>
      <c r="I60" s="61"/>
      <c r="J60" s="61"/>
      <c r="K60" s="145">
        <v>66</v>
      </c>
      <c r="L60" s="62">
        <v>66</v>
      </c>
      <c r="M60" s="60"/>
      <c r="N60" s="61"/>
      <c r="O60" s="61"/>
      <c r="P60" s="145">
        <v>13</v>
      </c>
      <c r="Q60" s="62">
        <v>11</v>
      </c>
      <c r="R60" s="60"/>
      <c r="S60" s="61"/>
      <c r="T60" s="61"/>
      <c r="U60" s="61"/>
      <c r="V60" s="61"/>
      <c r="W60" s="145">
        <v>3</v>
      </c>
      <c r="X60" s="62">
        <v>0</v>
      </c>
      <c r="Y60" s="60"/>
      <c r="Z60" s="61"/>
      <c r="AA60" s="61"/>
      <c r="AB60" s="145"/>
      <c r="AC60" s="61"/>
      <c r="AD60" s="152">
        <v>26.21</v>
      </c>
      <c r="AE60" s="64">
        <v>28.78</v>
      </c>
      <c r="AF60" s="270"/>
      <c r="AG60" s="65"/>
      <c r="AH60" s="65"/>
      <c r="AI60" s="65"/>
      <c r="AJ60" s="65"/>
      <c r="AK60" s="196">
        <v>21154.74</v>
      </c>
      <c r="AL60" s="66">
        <v>20880.009999999998</v>
      </c>
      <c r="AM60" s="270"/>
      <c r="AN60" s="65"/>
      <c r="AO60" s="65"/>
      <c r="AP60" s="65"/>
      <c r="AQ60" s="65"/>
      <c r="AR60" s="196">
        <v>4774.12</v>
      </c>
      <c r="AS60" s="66">
        <v>1420.34</v>
      </c>
      <c r="AT60" s="276"/>
      <c r="AU60" s="67"/>
      <c r="AV60" s="67"/>
      <c r="AW60" s="67"/>
      <c r="AX60" s="67"/>
      <c r="AY60" s="190">
        <f t="shared" si="5"/>
        <v>0.22567613688468871</v>
      </c>
      <c r="AZ60" s="68">
        <f t="shared" si="6"/>
        <v>6.8023913781650486E-2</v>
      </c>
      <c r="BA60" s="276"/>
      <c r="BB60" s="69"/>
      <c r="BC60" s="69"/>
      <c r="BD60" s="69"/>
      <c r="BE60" s="69"/>
      <c r="BF60" s="199"/>
      <c r="BG60" s="70"/>
      <c r="BH60" s="60"/>
      <c r="BI60" s="71"/>
      <c r="BJ60" s="71"/>
      <c r="BK60" s="71"/>
      <c r="BL60" s="71"/>
      <c r="BM60" s="200"/>
      <c r="BN60" s="72">
        <f t="shared" si="8"/>
        <v>-15.765222310303823</v>
      </c>
      <c r="BO60" s="276"/>
      <c r="BP60" s="67"/>
      <c r="BQ60" s="67"/>
      <c r="BR60" s="190">
        <f>W60/P60</f>
        <v>0.23076923076923078</v>
      </c>
      <c r="BS60" s="190">
        <f>X60/Q60</f>
        <v>0</v>
      </c>
      <c r="BT60" s="73">
        <f t="shared" si="24"/>
        <v>9.805417779473484E-2</v>
      </c>
      <c r="BU60" s="73">
        <f>(Q60-P60)/P60</f>
        <v>-0.15384615384615385</v>
      </c>
    </row>
    <row r="61" spans="1:73" s="14" customFormat="1" x14ac:dyDescent="0.25">
      <c r="A61" s="13"/>
      <c r="B61" s="59" t="s">
        <v>326</v>
      </c>
      <c r="C61" s="60"/>
      <c r="D61" s="61"/>
      <c r="E61" s="61"/>
      <c r="F61" s="145">
        <v>5</v>
      </c>
      <c r="G61" s="62">
        <v>5</v>
      </c>
      <c r="H61" s="60"/>
      <c r="I61" s="61"/>
      <c r="J61" s="61"/>
      <c r="K61" s="145">
        <v>113</v>
      </c>
      <c r="L61" s="62">
        <v>114</v>
      </c>
      <c r="M61" s="60"/>
      <c r="N61" s="61"/>
      <c r="O61" s="61"/>
      <c r="P61" s="145">
        <v>25</v>
      </c>
      <c r="Q61" s="62">
        <v>32</v>
      </c>
      <c r="R61" s="60"/>
      <c r="S61" s="61"/>
      <c r="T61" s="61"/>
      <c r="U61" s="61"/>
      <c r="V61" s="61"/>
      <c r="W61" s="145">
        <v>8</v>
      </c>
      <c r="X61" s="62">
        <v>0</v>
      </c>
      <c r="Y61" s="60"/>
      <c r="Z61" s="61"/>
      <c r="AA61" s="61"/>
      <c r="AB61" s="145"/>
      <c r="AC61" s="61"/>
      <c r="AD61" s="152">
        <v>36.119999999999997</v>
      </c>
      <c r="AE61" s="64">
        <v>37.299999999999997</v>
      </c>
      <c r="AF61" s="270"/>
      <c r="AG61" s="65"/>
      <c r="AH61" s="65"/>
      <c r="AI61" s="65"/>
      <c r="AJ61" s="65"/>
      <c r="AK61" s="196">
        <v>47667.22</v>
      </c>
      <c r="AL61" s="66">
        <v>42484.84</v>
      </c>
      <c r="AM61" s="270"/>
      <c r="AN61" s="65"/>
      <c r="AO61" s="65"/>
      <c r="AP61" s="65"/>
      <c r="AQ61" s="65"/>
      <c r="AR61" s="196">
        <v>15651.01</v>
      </c>
      <c r="AS61" s="66">
        <v>5416.16</v>
      </c>
      <c r="AT61" s="276"/>
      <c r="AU61" s="67"/>
      <c r="AV61" s="67"/>
      <c r="AW61" s="67"/>
      <c r="AX61" s="67"/>
      <c r="AY61" s="190">
        <f t="shared" si="5"/>
        <v>0.32833905564452887</v>
      </c>
      <c r="AZ61" s="68">
        <f t="shared" si="6"/>
        <v>0.12748453330646886</v>
      </c>
      <c r="BA61" s="276"/>
      <c r="BB61" s="69"/>
      <c r="BC61" s="69"/>
      <c r="BD61" s="69"/>
      <c r="BE61" s="69"/>
      <c r="BF61" s="199"/>
      <c r="BG61" s="70"/>
      <c r="BH61" s="60"/>
      <c r="BI61" s="71"/>
      <c r="BJ61" s="71"/>
      <c r="BK61" s="71"/>
      <c r="BL61" s="71"/>
      <c r="BM61" s="200"/>
      <c r="BN61" s="72">
        <f>(AZ61-AY61)*100</f>
        <v>-20.085452233806002</v>
      </c>
      <c r="BO61" s="276"/>
      <c r="BP61" s="67"/>
      <c r="BQ61" s="67"/>
      <c r="BR61" s="190">
        <f>W61/P61</f>
        <v>0.32</v>
      </c>
      <c r="BS61" s="190">
        <f>X61/Q61</f>
        <v>0</v>
      </c>
      <c r="BT61" s="73">
        <f t="shared" si="24"/>
        <v>3.2668881506090805E-2</v>
      </c>
      <c r="BU61" s="73">
        <f>(Q61-P61)/P61</f>
        <v>0.28000000000000003</v>
      </c>
    </row>
    <row r="62" spans="1:73" s="23" customFormat="1" x14ac:dyDescent="0.25">
      <c r="A62" s="10"/>
      <c r="B62" s="33" t="s">
        <v>311</v>
      </c>
      <c r="C62" s="34">
        <v>0</v>
      </c>
      <c r="D62" s="35">
        <v>5</v>
      </c>
      <c r="E62" s="35">
        <v>5</v>
      </c>
      <c r="F62" s="93"/>
      <c r="G62" s="36"/>
      <c r="H62" s="34">
        <v>0</v>
      </c>
      <c r="I62" s="35">
        <v>0</v>
      </c>
      <c r="J62" s="35">
        <v>0</v>
      </c>
      <c r="K62" s="93"/>
      <c r="L62" s="36"/>
      <c r="M62" s="34">
        <v>0</v>
      </c>
      <c r="N62" s="35">
        <v>16</v>
      </c>
      <c r="O62" s="35">
        <v>25</v>
      </c>
      <c r="P62" s="93"/>
      <c r="Q62" s="36"/>
      <c r="R62" s="34">
        <v>0</v>
      </c>
      <c r="S62" s="35">
        <v>0</v>
      </c>
      <c r="T62" s="35">
        <v>0</v>
      </c>
      <c r="U62" s="35">
        <v>0</v>
      </c>
      <c r="V62" s="35">
        <v>0</v>
      </c>
      <c r="W62" s="93"/>
      <c r="X62" s="36"/>
      <c r="Y62" s="34">
        <v>18.940000000000001</v>
      </c>
      <c r="Z62" s="35">
        <v>29.69</v>
      </c>
      <c r="AA62" s="35">
        <v>36.119999999999997</v>
      </c>
      <c r="AB62" s="93">
        <v>36.119999999999997</v>
      </c>
      <c r="AC62" s="35">
        <v>36.119999999999997</v>
      </c>
      <c r="AD62" s="154"/>
      <c r="AE62" s="90"/>
      <c r="AF62" s="38"/>
      <c r="AG62" s="39"/>
      <c r="AH62" s="39"/>
      <c r="AI62" s="39">
        <v>40334</v>
      </c>
      <c r="AJ62" s="39">
        <v>46647</v>
      </c>
      <c r="AK62" s="182"/>
      <c r="AL62" s="40"/>
      <c r="AM62" s="38"/>
      <c r="AN62" s="39"/>
      <c r="AO62" s="39"/>
      <c r="AP62" s="39">
        <v>3163</v>
      </c>
      <c r="AQ62" s="39">
        <v>7481</v>
      </c>
      <c r="AR62" s="182"/>
      <c r="AS62" s="40"/>
      <c r="AT62" s="41"/>
      <c r="AU62" s="42"/>
      <c r="AV62" s="42"/>
      <c r="AW62" s="42">
        <f>AP62/AI62</f>
        <v>7.8420191401795014E-2</v>
      </c>
      <c r="AX62" s="42">
        <f>AQ62/AJ62</f>
        <v>0.16037472935022618</v>
      </c>
      <c r="AY62" s="183"/>
      <c r="AZ62" s="43"/>
      <c r="BA62" s="41"/>
      <c r="BB62" s="44"/>
      <c r="BC62" s="44"/>
      <c r="BD62" s="44"/>
      <c r="BE62" s="44"/>
      <c r="BF62" s="184"/>
      <c r="BG62" s="45"/>
      <c r="BH62" s="34"/>
      <c r="BI62" s="46"/>
      <c r="BJ62" s="46"/>
      <c r="BK62" s="46"/>
      <c r="BL62" s="46">
        <f>(AX62-AW62)*100</f>
        <v>8.1954537948431163</v>
      </c>
      <c r="BM62" s="185"/>
      <c r="BN62" s="47"/>
      <c r="BO62" s="41"/>
      <c r="BP62" s="42">
        <f>U62/N62</f>
        <v>0</v>
      </c>
      <c r="BQ62" s="42">
        <f>V62/O62</f>
        <v>0</v>
      </c>
      <c r="BR62" s="183"/>
      <c r="BS62" s="183"/>
      <c r="BT62" s="48"/>
      <c r="BU62" s="48"/>
    </row>
    <row r="63" spans="1:73" s="14" customFormat="1" x14ac:dyDescent="0.25">
      <c r="A63" s="13">
        <v>30</v>
      </c>
      <c r="B63" s="59" t="s">
        <v>18</v>
      </c>
      <c r="C63" s="60"/>
      <c r="D63" s="61"/>
      <c r="E63" s="61"/>
      <c r="F63" s="145">
        <v>0</v>
      </c>
      <c r="G63" s="62"/>
      <c r="H63" s="60"/>
      <c r="I63" s="61"/>
      <c r="J63" s="61"/>
      <c r="K63" s="145">
        <v>185</v>
      </c>
      <c r="L63" s="62"/>
      <c r="M63" s="60"/>
      <c r="N63" s="61"/>
      <c r="O63" s="61"/>
      <c r="P63" s="145">
        <v>40</v>
      </c>
      <c r="Q63" s="62"/>
      <c r="R63" s="60"/>
      <c r="S63" s="61"/>
      <c r="T63" s="61"/>
      <c r="U63" s="61"/>
      <c r="V63" s="61"/>
      <c r="W63" s="145">
        <v>38</v>
      </c>
      <c r="X63" s="62"/>
      <c r="Y63" s="60"/>
      <c r="Z63" s="61"/>
      <c r="AA63" s="61"/>
      <c r="AB63" s="145"/>
      <c r="AC63" s="61"/>
      <c r="AD63" s="152">
        <v>42.42</v>
      </c>
      <c r="AE63" s="64"/>
      <c r="AF63" s="270"/>
      <c r="AG63" s="65"/>
      <c r="AH63" s="65"/>
      <c r="AI63" s="65"/>
      <c r="AJ63" s="65"/>
      <c r="AK63" s="196">
        <v>48991</v>
      </c>
      <c r="AL63" s="66"/>
      <c r="AM63" s="270"/>
      <c r="AN63" s="65"/>
      <c r="AO63" s="65"/>
      <c r="AP63" s="65"/>
      <c r="AQ63" s="65"/>
      <c r="AR63" s="196">
        <v>13349</v>
      </c>
      <c r="AS63" s="66"/>
      <c r="AT63" s="276"/>
      <c r="AU63" s="67"/>
      <c r="AV63" s="67"/>
      <c r="AW63" s="67"/>
      <c r="AX63" s="67"/>
      <c r="AY63" s="190">
        <f t="shared" si="5"/>
        <v>0.2724786185217693</v>
      </c>
      <c r="AZ63" s="68"/>
      <c r="BA63" s="276" t="s">
        <v>226</v>
      </c>
      <c r="BB63" s="69"/>
      <c r="BC63" s="69"/>
      <c r="BD63" s="69"/>
      <c r="BE63" s="69"/>
      <c r="BF63" s="199"/>
      <c r="BG63" s="70"/>
      <c r="BH63" s="60" t="s">
        <v>226</v>
      </c>
      <c r="BI63" s="71"/>
      <c r="BJ63" s="71"/>
      <c r="BK63" s="71"/>
      <c r="BL63" s="71"/>
      <c r="BM63" s="200"/>
      <c r="BN63" s="72"/>
      <c r="BO63" s="276"/>
      <c r="BP63" s="67"/>
      <c r="BQ63" s="67"/>
      <c r="BR63" s="190">
        <f t="shared" ref="BR63:BR71" si="42">W63/P63</f>
        <v>0.95</v>
      </c>
      <c r="BS63" s="190"/>
      <c r="BT63" s="73"/>
      <c r="BU63" s="73"/>
    </row>
    <row r="64" spans="1:73" s="14" customFormat="1" x14ac:dyDescent="0.25">
      <c r="A64" s="13">
        <v>31</v>
      </c>
      <c r="B64" s="59" t="s">
        <v>19</v>
      </c>
      <c r="C64" s="60"/>
      <c r="D64" s="61"/>
      <c r="E64" s="61"/>
      <c r="F64" s="145">
        <v>0</v>
      </c>
      <c r="G64" s="62"/>
      <c r="H64" s="60"/>
      <c r="I64" s="61"/>
      <c r="J64" s="61"/>
      <c r="K64" s="145">
        <v>127</v>
      </c>
      <c r="L64" s="62"/>
      <c r="M64" s="60"/>
      <c r="N64" s="61"/>
      <c r="O64" s="61"/>
      <c r="P64" s="145">
        <v>30</v>
      </c>
      <c r="Q64" s="62"/>
      <c r="R64" s="60"/>
      <c r="S64" s="61"/>
      <c r="T64" s="61"/>
      <c r="U64" s="61"/>
      <c r="V64" s="61"/>
      <c r="W64" s="145">
        <v>0</v>
      </c>
      <c r="X64" s="62"/>
      <c r="Y64" s="60"/>
      <c r="Z64" s="61"/>
      <c r="AA64" s="61"/>
      <c r="AB64" s="145"/>
      <c r="AC64" s="61"/>
      <c r="AD64" s="152">
        <v>38.44</v>
      </c>
      <c r="AE64" s="64"/>
      <c r="AF64" s="270"/>
      <c r="AG64" s="65"/>
      <c r="AH64" s="65"/>
      <c r="AI64" s="65"/>
      <c r="AJ64" s="65"/>
      <c r="AK64" s="196">
        <v>54390.15</v>
      </c>
      <c r="AL64" s="66"/>
      <c r="AM64" s="270"/>
      <c r="AN64" s="65"/>
      <c r="AO64" s="65"/>
      <c r="AP64" s="65"/>
      <c r="AQ64" s="65"/>
      <c r="AR64" s="196">
        <v>7050.45</v>
      </c>
      <c r="AS64" s="66"/>
      <c r="AT64" s="276"/>
      <c r="AU64" s="67"/>
      <c r="AV64" s="67"/>
      <c r="AW64" s="67"/>
      <c r="AX64" s="67"/>
      <c r="AY64" s="190">
        <f t="shared" si="5"/>
        <v>0.12962733141938385</v>
      </c>
      <c r="AZ64" s="68"/>
      <c r="BA64" s="276" t="s">
        <v>226</v>
      </c>
      <c r="BB64" s="69"/>
      <c r="BC64" s="69"/>
      <c r="BD64" s="69"/>
      <c r="BE64" s="69"/>
      <c r="BF64" s="199"/>
      <c r="BG64" s="70"/>
      <c r="BH64" s="60" t="s">
        <v>226</v>
      </c>
      <c r="BI64" s="71"/>
      <c r="BJ64" s="71"/>
      <c r="BK64" s="71"/>
      <c r="BL64" s="71"/>
      <c r="BM64" s="200"/>
      <c r="BN64" s="72"/>
      <c r="BO64" s="276"/>
      <c r="BP64" s="67"/>
      <c r="BQ64" s="67"/>
      <c r="BR64" s="190">
        <f t="shared" si="42"/>
        <v>0</v>
      </c>
      <c r="BS64" s="190"/>
      <c r="BT64" s="73"/>
      <c r="BU64" s="73"/>
    </row>
    <row r="65" spans="1:73" s="14" customFormat="1" x14ac:dyDescent="0.25">
      <c r="A65" s="13">
        <v>32</v>
      </c>
      <c r="B65" s="59" t="s">
        <v>290</v>
      </c>
      <c r="C65" s="60">
        <v>22</v>
      </c>
      <c r="D65" s="61">
        <v>22</v>
      </c>
      <c r="E65" s="61">
        <v>22</v>
      </c>
      <c r="F65" s="145">
        <v>23</v>
      </c>
      <c r="G65" s="62"/>
      <c r="H65" s="60">
        <v>12</v>
      </c>
      <c r="I65" s="61">
        <v>12</v>
      </c>
      <c r="J65" s="61">
        <v>12</v>
      </c>
      <c r="K65" s="145">
        <v>0</v>
      </c>
      <c r="L65" s="62"/>
      <c r="M65" s="60">
        <v>21</v>
      </c>
      <c r="N65" s="61">
        <v>13</v>
      </c>
      <c r="O65" s="61">
        <v>11</v>
      </c>
      <c r="P65" s="145">
        <v>112</v>
      </c>
      <c r="Q65" s="62"/>
      <c r="R65" s="60">
        <v>0</v>
      </c>
      <c r="S65" s="61">
        <v>0</v>
      </c>
      <c r="T65" s="61">
        <v>3</v>
      </c>
      <c r="U65" s="61">
        <v>6</v>
      </c>
      <c r="V65" s="61">
        <v>7</v>
      </c>
      <c r="W65" s="145">
        <v>33</v>
      </c>
      <c r="X65" s="62"/>
      <c r="Y65" s="60">
        <v>27.33</v>
      </c>
      <c r="Z65" s="61">
        <v>41.83</v>
      </c>
      <c r="AA65" s="61">
        <v>45.62</v>
      </c>
      <c r="AB65" s="145">
        <v>38.29</v>
      </c>
      <c r="AC65" s="61">
        <v>46.61</v>
      </c>
      <c r="AD65" s="152">
        <v>44.95</v>
      </c>
      <c r="AE65" s="64"/>
      <c r="AF65" s="270">
        <v>168386.51</v>
      </c>
      <c r="AG65" s="65">
        <v>164256</v>
      </c>
      <c r="AH65" s="65">
        <v>326488.96999999997</v>
      </c>
      <c r="AI65" s="65">
        <v>359733</v>
      </c>
      <c r="AJ65" s="65">
        <v>305884.65999999997</v>
      </c>
      <c r="AK65" s="196">
        <v>240770.87</v>
      </c>
      <c r="AL65" s="66"/>
      <c r="AM65" s="270">
        <v>0</v>
      </c>
      <c r="AN65" s="65">
        <v>5380.01</v>
      </c>
      <c r="AO65" s="65">
        <v>11072.43</v>
      </c>
      <c r="AP65" s="65">
        <v>17568.96</v>
      </c>
      <c r="AQ65" s="65">
        <v>55311.47</v>
      </c>
      <c r="AR65" s="196">
        <v>15342.22</v>
      </c>
      <c r="AS65" s="66"/>
      <c r="AT65" s="276">
        <f t="shared" si="26"/>
        <v>0</v>
      </c>
      <c r="AU65" s="67">
        <f t="shared" si="27"/>
        <v>3.2753811124098968E-2</v>
      </c>
      <c r="AV65" s="67">
        <f t="shared" si="28"/>
        <v>3.3913641860550452E-2</v>
      </c>
      <c r="AW65" s="67">
        <f t="shared" si="29"/>
        <v>4.8838888842558228E-2</v>
      </c>
      <c r="AX65" s="67">
        <f t="shared" si="30"/>
        <v>0.18082459578064491</v>
      </c>
      <c r="AY65" s="190">
        <f t="shared" si="5"/>
        <v>6.3721246677390833E-2</v>
      </c>
      <c r="AZ65" s="68"/>
      <c r="BA65" s="276" t="s">
        <v>226</v>
      </c>
      <c r="BB65" s="69">
        <f t="shared" si="9"/>
        <v>3.2753811124098968</v>
      </c>
      <c r="BC65" s="69">
        <f t="shared" si="10"/>
        <v>3.391364186055045</v>
      </c>
      <c r="BD65" s="69">
        <f t="shared" si="11"/>
        <v>4.883888884255823</v>
      </c>
      <c r="BE65" s="69">
        <f>(AX65-$AT65)*100</f>
        <v>18.082459578064491</v>
      </c>
      <c r="BF65" s="199">
        <f t="shared" si="12"/>
        <v>6.372124667739083</v>
      </c>
      <c r="BG65" s="70"/>
      <c r="BH65" s="60" t="s">
        <v>226</v>
      </c>
      <c r="BI65" s="71">
        <f t="shared" si="13"/>
        <v>3.2753811124098968</v>
      </c>
      <c r="BJ65" s="71">
        <f t="shared" si="14"/>
        <v>0.11598307364514837</v>
      </c>
      <c r="BK65" s="71">
        <f t="shared" si="7"/>
        <v>1.4925246982007776</v>
      </c>
      <c r="BL65" s="71">
        <f>(AX65-AW65)*100</f>
        <v>13.198570693808669</v>
      </c>
      <c r="BM65" s="200">
        <f t="shared" si="15"/>
        <v>-11.710334910325408</v>
      </c>
      <c r="BN65" s="72"/>
      <c r="BO65" s="276">
        <f>T65/M65</f>
        <v>0.14285714285714285</v>
      </c>
      <c r="BP65" s="67">
        <f>U65/N65</f>
        <v>0.46153846153846156</v>
      </c>
      <c r="BQ65" s="67">
        <f>V65/O65</f>
        <v>0.63636363636363635</v>
      </c>
      <c r="BR65" s="190">
        <f t="shared" si="42"/>
        <v>0.29464285714285715</v>
      </c>
      <c r="BS65" s="190"/>
      <c r="BT65" s="73"/>
      <c r="BU65" s="73"/>
    </row>
    <row r="66" spans="1:73" s="14" customFormat="1" x14ac:dyDescent="0.25">
      <c r="A66" s="13"/>
      <c r="B66" s="59" t="s">
        <v>356</v>
      </c>
      <c r="C66" s="60"/>
      <c r="D66" s="61"/>
      <c r="E66" s="61"/>
      <c r="F66" s="145">
        <v>0</v>
      </c>
      <c r="G66" s="62">
        <v>73</v>
      </c>
      <c r="H66" s="60"/>
      <c r="I66" s="61"/>
      <c r="J66" s="61"/>
      <c r="K66" s="145">
        <v>193</v>
      </c>
      <c r="L66" s="62">
        <v>0</v>
      </c>
      <c r="M66" s="60"/>
      <c r="N66" s="61"/>
      <c r="O66" s="61"/>
      <c r="P66" s="145">
        <v>150</v>
      </c>
      <c r="Q66" s="62">
        <v>240</v>
      </c>
      <c r="R66" s="60"/>
      <c r="S66" s="61"/>
      <c r="T66" s="61"/>
      <c r="U66" s="61"/>
      <c r="V66" s="61"/>
      <c r="W66" s="145">
        <v>20</v>
      </c>
      <c r="X66" s="62">
        <v>75</v>
      </c>
      <c r="Y66" s="60"/>
      <c r="Z66" s="61"/>
      <c r="AA66" s="61"/>
      <c r="AB66" s="145"/>
      <c r="AC66" s="61"/>
      <c r="AD66" s="63" t="s">
        <v>358</v>
      </c>
      <c r="AE66" s="64">
        <v>44.5</v>
      </c>
      <c r="AF66" s="270"/>
      <c r="AG66" s="65"/>
      <c r="AH66" s="65"/>
      <c r="AI66" s="65"/>
      <c r="AJ66" s="65"/>
      <c r="AK66" s="196">
        <v>127232.82</v>
      </c>
      <c r="AL66" s="66">
        <v>463614.14</v>
      </c>
      <c r="AM66" s="270"/>
      <c r="AN66" s="65"/>
      <c r="AO66" s="65"/>
      <c r="AP66" s="65"/>
      <c r="AQ66" s="65"/>
      <c r="AR66" s="196">
        <v>13662.82</v>
      </c>
      <c r="AS66" s="66">
        <v>30853.61</v>
      </c>
      <c r="AT66" s="276"/>
      <c r="AU66" s="67"/>
      <c r="AV66" s="67"/>
      <c r="AW66" s="67"/>
      <c r="AX66" s="67"/>
      <c r="AY66" s="190">
        <v>0.11</v>
      </c>
      <c r="AZ66" s="190">
        <f t="shared" si="6"/>
        <v>6.6550191933317654E-2</v>
      </c>
      <c r="BA66" s="276"/>
      <c r="BB66" s="69"/>
      <c r="BC66" s="69"/>
      <c r="BD66" s="69"/>
      <c r="BE66" s="69"/>
      <c r="BF66" s="199"/>
      <c r="BG66" s="70"/>
      <c r="BH66" s="60"/>
      <c r="BI66" s="71"/>
      <c r="BJ66" s="71"/>
      <c r="BK66" s="71"/>
      <c r="BL66" s="71"/>
      <c r="BM66" s="200"/>
      <c r="BN66" s="200">
        <f t="shared" si="8"/>
        <v>-4.3449808066682349</v>
      </c>
      <c r="BO66" s="276"/>
      <c r="BP66" s="67"/>
      <c r="BQ66" s="67"/>
      <c r="BR66" s="67">
        <f t="shared" si="42"/>
        <v>0.13333333333333333</v>
      </c>
      <c r="BS66" s="190">
        <f>X66/Q66</f>
        <v>0.3125</v>
      </c>
      <c r="BT66" s="73"/>
      <c r="BU66" s="73">
        <f>(Q66-P66)/P66</f>
        <v>0.6</v>
      </c>
    </row>
    <row r="67" spans="1:73" s="14" customFormat="1" x14ac:dyDescent="0.25">
      <c r="A67" s="13"/>
      <c r="B67" s="59" t="s">
        <v>357</v>
      </c>
      <c r="C67" s="60"/>
      <c r="D67" s="61"/>
      <c r="E67" s="61"/>
      <c r="F67" s="145">
        <v>0</v>
      </c>
      <c r="G67" s="62"/>
      <c r="H67" s="60"/>
      <c r="I67" s="61"/>
      <c r="J67" s="61"/>
      <c r="K67" s="145">
        <v>83</v>
      </c>
      <c r="L67" s="62"/>
      <c r="M67" s="60"/>
      <c r="N67" s="61"/>
      <c r="O67" s="61"/>
      <c r="P67" s="145">
        <v>66</v>
      </c>
      <c r="Q67" s="62"/>
      <c r="R67" s="60"/>
      <c r="S67" s="61"/>
      <c r="T67" s="61"/>
      <c r="U67" s="61"/>
      <c r="V67" s="61"/>
      <c r="W67" s="145">
        <v>6</v>
      </c>
      <c r="X67" s="62"/>
      <c r="Y67" s="60"/>
      <c r="Z67" s="61"/>
      <c r="AA67" s="61"/>
      <c r="AB67" s="145"/>
      <c r="AC67" s="61"/>
      <c r="AD67" s="152" t="s">
        <v>359</v>
      </c>
      <c r="AE67" s="64"/>
      <c r="AF67" s="270"/>
      <c r="AG67" s="65"/>
      <c r="AH67" s="65"/>
      <c r="AI67" s="65"/>
      <c r="AJ67" s="65"/>
      <c r="AK67" s="196">
        <v>88238.13</v>
      </c>
      <c r="AL67" s="66"/>
      <c r="AM67" s="270"/>
      <c r="AN67" s="65"/>
      <c r="AO67" s="65"/>
      <c r="AP67" s="65"/>
      <c r="AQ67" s="65"/>
      <c r="AR67" s="196">
        <v>4438.09</v>
      </c>
      <c r="AS67" s="66"/>
      <c r="AT67" s="276"/>
      <c r="AU67" s="67"/>
      <c r="AV67" s="67"/>
      <c r="AW67" s="67"/>
      <c r="AX67" s="67"/>
      <c r="AY67" s="190">
        <f t="shared" si="5"/>
        <v>5.0296736796212702E-2</v>
      </c>
      <c r="AZ67" s="68"/>
      <c r="BA67" s="276"/>
      <c r="BB67" s="69"/>
      <c r="BC67" s="69"/>
      <c r="BD67" s="69"/>
      <c r="BE67" s="69"/>
      <c r="BF67" s="199"/>
      <c r="BG67" s="70"/>
      <c r="BH67" s="60"/>
      <c r="BI67" s="71"/>
      <c r="BJ67" s="71"/>
      <c r="BK67" s="71"/>
      <c r="BL67" s="71"/>
      <c r="BM67" s="200"/>
      <c r="BN67" s="72"/>
      <c r="BO67" s="276"/>
      <c r="BP67" s="67"/>
      <c r="BQ67" s="67"/>
      <c r="BR67" s="190">
        <f t="shared" si="42"/>
        <v>9.0909090909090912E-2</v>
      </c>
      <c r="BS67" s="190"/>
      <c r="BT67" s="73"/>
      <c r="BU67" s="73"/>
    </row>
    <row r="68" spans="1:73" s="9" customFormat="1" x14ac:dyDescent="0.25">
      <c r="A68" s="12">
        <v>33</v>
      </c>
      <c r="B68" s="17" t="s">
        <v>158</v>
      </c>
      <c r="C68" s="2">
        <v>3</v>
      </c>
      <c r="D68" s="3">
        <v>3</v>
      </c>
      <c r="E68" s="3">
        <v>3</v>
      </c>
      <c r="F68" s="144">
        <v>1</v>
      </c>
      <c r="G68" s="4">
        <v>0</v>
      </c>
      <c r="H68" s="2">
        <v>2175</v>
      </c>
      <c r="I68" s="3">
        <v>2157</v>
      </c>
      <c r="J68" s="3">
        <v>2233</v>
      </c>
      <c r="K68" s="144">
        <v>2270</v>
      </c>
      <c r="L68" s="4">
        <v>2296</v>
      </c>
      <c r="M68" s="2">
        <v>22</v>
      </c>
      <c r="N68" s="3">
        <v>477</v>
      </c>
      <c r="O68" s="3">
        <v>840</v>
      </c>
      <c r="P68" s="144">
        <v>651</v>
      </c>
      <c r="Q68" s="4">
        <v>603</v>
      </c>
      <c r="R68" s="2">
        <v>3</v>
      </c>
      <c r="S68" s="3">
        <v>5</v>
      </c>
      <c r="T68" s="3">
        <v>16</v>
      </c>
      <c r="U68" s="3">
        <v>153</v>
      </c>
      <c r="V68" s="3">
        <v>211</v>
      </c>
      <c r="W68" s="144">
        <v>184</v>
      </c>
      <c r="X68" s="4">
        <v>0</v>
      </c>
      <c r="Y68" s="2">
        <v>20.37</v>
      </c>
      <c r="Z68" s="3">
        <v>23.96</v>
      </c>
      <c r="AA68" s="3">
        <v>28.16</v>
      </c>
      <c r="AB68" s="144">
        <v>43.96</v>
      </c>
      <c r="AC68" s="3">
        <v>39.15</v>
      </c>
      <c r="AD68" s="144">
        <v>39.15</v>
      </c>
      <c r="AE68" s="144">
        <v>39.15</v>
      </c>
      <c r="AF68" s="19">
        <v>334933</v>
      </c>
      <c r="AG68" s="20">
        <v>375787</v>
      </c>
      <c r="AH68" s="20">
        <v>451317</v>
      </c>
      <c r="AI68" s="20">
        <v>688214</v>
      </c>
      <c r="AJ68" s="20">
        <v>721217</v>
      </c>
      <c r="AK68" s="210">
        <v>765621</v>
      </c>
      <c r="AL68" s="21">
        <v>717133</v>
      </c>
      <c r="AM68" s="19">
        <v>23015</v>
      </c>
      <c r="AN68" s="20">
        <v>25951</v>
      </c>
      <c r="AO68" s="20">
        <v>40204</v>
      </c>
      <c r="AP68" s="20">
        <v>113137</v>
      </c>
      <c r="AQ68" s="20">
        <v>165545</v>
      </c>
      <c r="AR68" s="210">
        <v>61610</v>
      </c>
      <c r="AS68" s="21">
        <v>38496</v>
      </c>
      <c r="AT68" s="50">
        <f t="shared" si="26"/>
        <v>6.8715235584430323E-2</v>
      </c>
      <c r="AU68" s="51">
        <f t="shared" si="27"/>
        <v>6.9057737494910676E-2</v>
      </c>
      <c r="AV68" s="51">
        <f t="shared" si="28"/>
        <v>8.9081510335307562E-2</v>
      </c>
      <c r="AW68" s="51">
        <f t="shared" si="29"/>
        <v>0.16439218033925493</v>
      </c>
      <c r="AX68" s="51">
        <f t="shared" si="30"/>
        <v>0.22953563213290867</v>
      </c>
      <c r="AY68" s="211">
        <f t="shared" si="5"/>
        <v>8.0470624499589222E-2</v>
      </c>
      <c r="AZ68" s="52">
        <f t="shared" si="6"/>
        <v>5.3680419113330442E-2</v>
      </c>
      <c r="BA68" s="50" t="s">
        <v>226</v>
      </c>
      <c r="BB68" s="53">
        <f t="shared" si="9"/>
        <v>3.4250191048035283E-2</v>
      </c>
      <c r="BC68" s="53">
        <f t="shared" si="10"/>
        <v>2.036627475087724</v>
      </c>
      <c r="BD68" s="53">
        <f t="shared" si="11"/>
        <v>9.56769447548246</v>
      </c>
      <c r="BE68" s="53">
        <f t="shared" ref="BE68:BE78" si="43">(AX68-$AT68)*100</f>
        <v>16.082039654847836</v>
      </c>
      <c r="BF68" s="212">
        <f t="shared" si="12"/>
        <v>1.17553889151589</v>
      </c>
      <c r="BG68" s="54">
        <f t="shared" si="23"/>
        <v>-1.5034816471099881</v>
      </c>
      <c r="BH68" s="2" t="s">
        <v>226</v>
      </c>
      <c r="BI68" s="55">
        <f t="shared" si="13"/>
        <v>3.4250191048035283E-2</v>
      </c>
      <c r="BJ68" s="55">
        <f t="shared" si="14"/>
        <v>2.0023772840396887</v>
      </c>
      <c r="BK68" s="55">
        <f t="shared" si="7"/>
        <v>7.5310670003947369</v>
      </c>
      <c r="BL68" s="55">
        <f t="shared" ref="BL68:BL78" si="44">(AX68-AW68)*100</f>
        <v>6.5143451793653746</v>
      </c>
      <c r="BM68" s="213">
        <f t="shared" si="15"/>
        <v>-14.906500763331945</v>
      </c>
      <c r="BN68" s="56">
        <f t="shared" si="8"/>
        <v>-2.6790205386258781</v>
      </c>
      <c r="BO68" s="50">
        <f t="shared" ref="BO68:BQ70" si="45">T68/M68</f>
        <v>0.72727272727272729</v>
      </c>
      <c r="BP68" s="51">
        <f t="shared" si="45"/>
        <v>0.32075471698113206</v>
      </c>
      <c r="BQ68" s="51">
        <f t="shared" si="45"/>
        <v>0.25119047619047619</v>
      </c>
      <c r="BR68" s="211">
        <f t="shared" si="42"/>
        <v>0.28264208909370198</v>
      </c>
      <c r="BS68" s="211">
        <f t="shared" ref="BS68:BS77" si="46">X68/Q68</f>
        <v>0</v>
      </c>
      <c r="BT68" s="57">
        <f t="shared" si="24"/>
        <v>0</v>
      </c>
      <c r="BU68" s="57">
        <f>(Q68-P68)/P68</f>
        <v>-7.3732718894009217E-2</v>
      </c>
    </row>
    <row r="69" spans="1:73" s="14" customFormat="1" x14ac:dyDescent="0.25">
      <c r="A69" s="13"/>
      <c r="B69" s="59" t="s">
        <v>365</v>
      </c>
      <c r="C69" s="60">
        <v>8</v>
      </c>
      <c r="D69" s="61">
        <v>8</v>
      </c>
      <c r="E69" s="61">
        <v>7</v>
      </c>
      <c r="F69" s="145">
        <v>7</v>
      </c>
      <c r="G69" s="62">
        <v>7</v>
      </c>
      <c r="H69" s="60">
        <v>47</v>
      </c>
      <c r="I69" s="61">
        <v>47</v>
      </c>
      <c r="J69" s="61">
        <v>47</v>
      </c>
      <c r="K69" s="145">
        <v>47</v>
      </c>
      <c r="L69" s="62">
        <v>47</v>
      </c>
      <c r="M69" s="60">
        <v>10</v>
      </c>
      <c r="N69" s="61">
        <v>16</v>
      </c>
      <c r="O69" s="61">
        <v>21</v>
      </c>
      <c r="P69" s="145">
        <v>19</v>
      </c>
      <c r="Q69" s="62">
        <v>15</v>
      </c>
      <c r="R69" s="60">
        <v>0</v>
      </c>
      <c r="S69" s="61">
        <v>0</v>
      </c>
      <c r="T69" s="61">
        <v>0</v>
      </c>
      <c r="U69" s="61">
        <v>0</v>
      </c>
      <c r="V69" s="61">
        <v>0</v>
      </c>
      <c r="W69" s="145">
        <v>1</v>
      </c>
      <c r="X69" s="62">
        <v>3</v>
      </c>
      <c r="Y69" s="60"/>
      <c r="Z69" s="61"/>
      <c r="AA69" s="61" t="s">
        <v>141</v>
      </c>
      <c r="AB69" s="145" t="s">
        <v>142</v>
      </c>
      <c r="AC69" s="61" t="s">
        <v>143</v>
      </c>
      <c r="AD69" s="145" t="s">
        <v>143</v>
      </c>
      <c r="AE69" s="62" t="s">
        <v>134</v>
      </c>
      <c r="AF69" s="270">
        <v>4722</v>
      </c>
      <c r="AG69" s="65">
        <v>8976</v>
      </c>
      <c r="AH69" s="65">
        <v>7855</v>
      </c>
      <c r="AI69" s="65">
        <v>13039</v>
      </c>
      <c r="AJ69" s="65">
        <v>13566</v>
      </c>
      <c r="AK69" s="196">
        <v>13695</v>
      </c>
      <c r="AL69" s="66">
        <v>13492</v>
      </c>
      <c r="AM69" s="270">
        <v>692</v>
      </c>
      <c r="AN69" s="65">
        <v>596</v>
      </c>
      <c r="AO69" s="65">
        <v>1548</v>
      </c>
      <c r="AP69" s="65">
        <v>3729</v>
      </c>
      <c r="AQ69" s="65">
        <v>3419</v>
      </c>
      <c r="AR69" s="196">
        <v>4610</v>
      </c>
      <c r="AS69" s="66">
        <v>2373.14</v>
      </c>
      <c r="AT69" s="276">
        <f t="shared" si="26"/>
        <v>0.14654807285048707</v>
      </c>
      <c r="AU69" s="67">
        <f t="shared" si="27"/>
        <v>6.6399286987522288E-2</v>
      </c>
      <c r="AV69" s="67">
        <f t="shared" si="28"/>
        <v>0.19707192870782941</v>
      </c>
      <c r="AW69" s="67">
        <f t="shared" si="29"/>
        <v>0.28598818927831887</v>
      </c>
      <c r="AX69" s="67">
        <f t="shared" si="30"/>
        <v>0.25202712664012972</v>
      </c>
      <c r="AY69" s="190">
        <f t="shared" si="5"/>
        <v>0.33661920408908363</v>
      </c>
      <c r="AZ69" s="68">
        <f t="shared" si="6"/>
        <v>0.17589238067002666</v>
      </c>
      <c r="BA69" s="276" t="s">
        <v>226</v>
      </c>
      <c r="BB69" s="69">
        <f t="shared" si="9"/>
        <v>-8.0148785862964775</v>
      </c>
      <c r="BC69" s="69">
        <f t="shared" si="10"/>
        <v>5.0523855857342346</v>
      </c>
      <c r="BD69" s="69">
        <f t="shared" si="11"/>
        <v>13.944011642783179</v>
      </c>
      <c r="BE69" s="69">
        <f t="shared" si="43"/>
        <v>10.547905378964265</v>
      </c>
      <c r="BF69" s="199">
        <f t="shared" si="12"/>
        <v>19.007113123859657</v>
      </c>
      <c r="BG69" s="70">
        <f t="shared" si="23"/>
        <v>2.9344307819539588</v>
      </c>
      <c r="BH69" s="60" t="s">
        <v>226</v>
      </c>
      <c r="BI69" s="71">
        <f t="shared" si="13"/>
        <v>-8.0148785862964775</v>
      </c>
      <c r="BJ69" s="71">
        <f t="shared" si="14"/>
        <v>13.067264172030713</v>
      </c>
      <c r="BK69" s="71">
        <f t="shared" si="7"/>
        <v>8.8916260570489456</v>
      </c>
      <c r="BL69" s="71">
        <f t="shared" si="44"/>
        <v>-3.3961062638189157</v>
      </c>
      <c r="BM69" s="200">
        <f t="shared" si="15"/>
        <v>8.4592077448953908</v>
      </c>
      <c r="BN69" s="72">
        <f t="shared" si="8"/>
        <v>-16.072682341905697</v>
      </c>
      <c r="BO69" s="276">
        <f t="shared" si="45"/>
        <v>0</v>
      </c>
      <c r="BP69" s="67">
        <f t="shared" si="45"/>
        <v>0</v>
      </c>
      <c r="BQ69" s="67">
        <f t="shared" si="45"/>
        <v>0</v>
      </c>
      <c r="BR69" s="190">
        <f t="shared" si="42"/>
        <v>5.2631578947368418E-2</v>
      </c>
      <c r="BS69" s="190">
        <f t="shared" si="46"/>
        <v>0.2</v>
      </c>
      <c r="BT69" s="73"/>
      <c r="BU69" s="73">
        <f>(Q69-P69)/P69</f>
        <v>-0.21052631578947367</v>
      </c>
    </row>
    <row r="70" spans="1:73" s="11" customFormat="1" x14ac:dyDescent="0.25">
      <c r="A70" s="10"/>
      <c r="B70" s="33" t="s">
        <v>152</v>
      </c>
      <c r="C70" s="34">
        <v>0</v>
      </c>
      <c r="D70" s="35">
        <v>0</v>
      </c>
      <c r="E70" s="35">
        <v>0</v>
      </c>
      <c r="F70" s="93">
        <v>1</v>
      </c>
      <c r="G70" s="36">
        <v>1</v>
      </c>
      <c r="H70" s="34">
        <v>15</v>
      </c>
      <c r="I70" s="35">
        <v>15</v>
      </c>
      <c r="J70" s="35">
        <v>15</v>
      </c>
      <c r="K70" s="93">
        <v>18</v>
      </c>
      <c r="L70" s="36">
        <v>16</v>
      </c>
      <c r="M70" s="34">
        <v>6</v>
      </c>
      <c r="N70" s="35">
        <v>8</v>
      </c>
      <c r="O70" s="35">
        <v>10</v>
      </c>
      <c r="P70" s="93">
        <v>10</v>
      </c>
      <c r="Q70" s="36">
        <v>10</v>
      </c>
      <c r="R70" s="34">
        <v>0</v>
      </c>
      <c r="S70" s="35">
        <v>0</v>
      </c>
      <c r="T70" s="35">
        <v>0</v>
      </c>
      <c r="U70" s="35">
        <v>0</v>
      </c>
      <c r="V70" s="35">
        <v>2</v>
      </c>
      <c r="W70" s="93">
        <v>1</v>
      </c>
      <c r="X70" s="36">
        <v>1</v>
      </c>
      <c r="Y70" s="34" t="s">
        <v>144</v>
      </c>
      <c r="Z70" s="35" t="s">
        <v>144</v>
      </c>
      <c r="AA70" s="35" t="s">
        <v>144</v>
      </c>
      <c r="AB70" s="93" t="s">
        <v>91</v>
      </c>
      <c r="AC70" s="35" t="s">
        <v>91</v>
      </c>
      <c r="AD70" s="93" t="s">
        <v>91</v>
      </c>
      <c r="AE70" s="93" t="s">
        <v>91</v>
      </c>
      <c r="AF70" s="38">
        <v>1280.46</v>
      </c>
      <c r="AG70" s="39">
        <v>1474.2</v>
      </c>
      <c r="AH70" s="39">
        <v>1877.03</v>
      </c>
      <c r="AI70" s="39">
        <v>2279.06</v>
      </c>
      <c r="AJ70" s="39">
        <v>2166.0500000000002</v>
      </c>
      <c r="AK70" s="182">
        <v>2571.9899999999998</v>
      </c>
      <c r="AL70" s="40">
        <v>2550</v>
      </c>
      <c r="AM70" s="38">
        <v>529.26</v>
      </c>
      <c r="AN70" s="39">
        <v>274.12</v>
      </c>
      <c r="AO70" s="39">
        <v>460.59</v>
      </c>
      <c r="AP70" s="39">
        <v>781.03</v>
      </c>
      <c r="AQ70" s="39">
        <v>770.79</v>
      </c>
      <c r="AR70" s="182">
        <v>733.34</v>
      </c>
      <c r="AS70" s="40">
        <v>873</v>
      </c>
      <c r="AT70" s="41">
        <f t="shared" si="26"/>
        <v>0.4133358324352186</v>
      </c>
      <c r="AU70" s="42">
        <f t="shared" si="27"/>
        <v>0.1859449192782526</v>
      </c>
      <c r="AV70" s="42">
        <f t="shared" si="28"/>
        <v>0.24538233272776672</v>
      </c>
      <c r="AW70" s="42">
        <f t="shared" si="29"/>
        <v>0.3426983054417172</v>
      </c>
      <c r="AX70" s="42">
        <f t="shared" si="30"/>
        <v>0.35585051129936979</v>
      </c>
      <c r="AY70" s="183">
        <f t="shared" si="5"/>
        <v>0.28512552537140506</v>
      </c>
      <c r="AZ70" s="43">
        <f t="shared" si="6"/>
        <v>0.34235294117647058</v>
      </c>
      <c r="BA70" s="41" t="s">
        <v>226</v>
      </c>
      <c r="BB70" s="44">
        <f t="shared" si="9"/>
        <v>-22.739091315696598</v>
      </c>
      <c r="BC70" s="44">
        <f t="shared" si="10"/>
        <v>-16.795349970745189</v>
      </c>
      <c r="BD70" s="44">
        <f t="shared" si="11"/>
        <v>-7.0637526993501396</v>
      </c>
      <c r="BE70" s="44">
        <f t="shared" si="43"/>
        <v>-5.748532113584881</v>
      </c>
      <c r="BF70" s="184">
        <f t="shared" si="12"/>
        <v>-12.821030706381354</v>
      </c>
      <c r="BG70" s="45">
        <f t="shared" si="23"/>
        <v>-7.0982891258748015</v>
      </c>
      <c r="BH70" s="34" t="s">
        <v>226</v>
      </c>
      <c r="BI70" s="46">
        <f t="shared" si="13"/>
        <v>-22.739091315696598</v>
      </c>
      <c r="BJ70" s="46">
        <f t="shared" si="14"/>
        <v>5.9437413449514116</v>
      </c>
      <c r="BK70" s="46">
        <f t="shared" si="7"/>
        <v>9.7315972713950476</v>
      </c>
      <c r="BL70" s="46">
        <f t="shared" si="44"/>
        <v>1.3152205857652588</v>
      </c>
      <c r="BM70" s="185">
        <f t="shared" si="15"/>
        <v>-7.0724985927964727</v>
      </c>
      <c r="BN70" s="47">
        <f t="shared" si="8"/>
        <v>5.7227415805065522</v>
      </c>
      <c r="BO70" s="41">
        <f t="shared" si="45"/>
        <v>0</v>
      </c>
      <c r="BP70" s="42">
        <f t="shared" si="45"/>
        <v>0</v>
      </c>
      <c r="BQ70" s="42">
        <f t="shared" si="45"/>
        <v>0.2</v>
      </c>
      <c r="BR70" s="183">
        <f t="shared" si="42"/>
        <v>0.1</v>
      </c>
      <c r="BS70" s="183">
        <f t="shared" si="46"/>
        <v>0.1</v>
      </c>
      <c r="BT70" s="48"/>
      <c r="BU70" s="48">
        <f>(Q70-P70)/P70</f>
        <v>0</v>
      </c>
    </row>
    <row r="71" spans="1:73" s="11" customFormat="1" x14ac:dyDescent="0.25">
      <c r="A71" s="10"/>
      <c r="B71" s="33" t="s">
        <v>153</v>
      </c>
      <c r="C71" s="34">
        <v>0</v>
      </c>
      <c r="D71" s="35">
        <v>0</v>
      </c>
      <c r="E71" s="35">
        <v>0</v>
      </c>
      <c r="F71" s="93">
        <v>0</v>
      </c>
      <c r="G71" s="36">
        <v>0</v>
      </c>
      <c r="H71" s="34">
        <v>4</v>
      </c>
      <c r="I71" s="35">
        <v>4</v>
      </c>
      <c r="J71" s="35">
        <v>4</v>
      </c>
      <c r="K71" s="93">
        <v>4</v>
      </c>
      <c r="L71" s="36">
        <v>4</v>
      </c>
      <c r="M71" s="34">
        <v>0</v>
      </c>
      <c r="N71" s="35">
        <v>1</v>
      </c>
      <c r="O71" s="35">
        <v>2</v>
      </c>
      <c r="P71" s="93">
        <v>2</v>
      </c>
      <c r="Q71" s="36">
        <v>2</v>
      </c>
      <c r="R71" s="34">
        <v>0</v>
      </c>
      <c r="S71" s="35">
        <v>0</v>
      </c>
      <c r="T71" s="35">
        <v>0</v>
      </c>
      <c r="U71" s="35">
        <v>0</v>
      </c>
      <c r="V71" s="35">
        <v>0</v>
      </c>
      <c r="W71" s="93">
        <v>0</v>
      </c>
      <c r="X71" s="36">
        <v>0</v>
      </c>
      <c r="Y71" s="34" t="s">
        <v>126</v>
      </c>
      <c r="Z71" s="35" t="s">
        <v>145</v>
      </c>
      <c r="AA71" s="35" t="s">
        <v>145</v>
      </c>
      <c r="AB71" s="93" t="s">
        <v>145</v>
      </c>
      <c r="AC71" s="35" t="s">
        <v>145</v>
      </c>
      <c r="AD71" s="93" t="s">
        <v>145</v>
      </c>
      <c r="AE71" s="93" t="s">
        <v>145</v>
      </c>
      <c r="AF71" s="38">
        <v>558</v>
      </c>
      <c r="AG71" s="39">
        <v>1132</v>
      </c>
      <c r="AH71" s="39">
        <v>1221</v>
      </c>
      <c r="AI71" s="39">
        <v>1221</v>
      </c>
      <c r="AJ71" s="39">
        <v>1119</v>
      </c>
      <c r="AK71" s="182">
        <v>1088.8699999999999</v>
      </c>
      <c r="AL71" s="40">
        <v>1117</v>
      </c>
      <c r="AM71" s="38">
        <v>0</v>
      </c>
      <c r="AN71" s="39">
        <v>0</v>
      </c>
      <c r="AO71" s="39">
        <v>0</v>
      </c>
      <c r="AP71" s="39">
        <v>76</v>
      </c>
      <c r="AQ71" s="39">
        <v>499</v>
      </c>
      <c r="AR71" s="182">
        <v>377</v>
      </c>
      <c r="AS71" s="40">
        <v>351</v>
      </c>
      <c r="AT71" s="41">
        <f t="shared" si="26"/>
        <v>0</v>
      </c>
      <c r="AU71" s="42">
        <f t="shared" si="27"/>
        <v>0</v>
      </c>
      <c r="AV71" s="42">
        <f t="shared" si="28"/>
        <v>0</v>
      </c>
      <c r="AW71" s="42">
        <f t="shared" si="29"/>
        <v>6.2244062244062245E-2</v>
      </c>
      <c r="AX71" s="42">
        <f t="shared" si="30"/>
        <v>0.44593386952636282</v>
      </c>
      <c r="AY71" s="183">
        <f t="shared" si="5"/>
        <v>0.34623049583513188</v>
      </c>
      <c r="AZ71" s="43">
        <f t="shared" si="6"/>
        <v>0.31423455684870188</v>
      </c>
      <c r="BA71" s="41" t="s">
        <v>226</v>
      </c>
      <c r="BB71" s="44">
        <f t="shared" si="9"/>
        <v>0</v>
      </c>
      <c r="BC71" s="44">
        <f t="shared" si="10"/>
        <v>0</v>
      </c>
      <c r="BD71" s="44">
        <f t="shared" si="11"/>
        <v>6.2244062244062244</v>
      </c>
      <c r="BE71" s="44">
        <f t="shared" si="43"/>
        <v>44.59338695263628</v>
      </c>
      <c r="BF71" s="184">
        <f t="shared" si="12"/>
        <v>34.623049583513186</v>
      </c>
      <c r="BG71" s="45">
        <f t="shared" si="23"/>
        <v>31.423455684870188</v>
      </c>
      <c r="BH71" s="34" t="s">
        <v>226</v>
      </c>
      <c r="BI71" s="46">
        <f t="shared" si="13"/>
        <v>0</v>
      </c>
      <c r="BJ71" s="46">
        <f t="shared" si="14"/>
        <v>0</v>
      </c>
      <c r="BK71" s="46">
        <f t="shared" si="7"/>
        <v>6.2244062244062244</v>
      </c>
      <c r="BL71" s="46">
        <f t="shared" si="44"/>
        <v>38.368980728230056</v>
      </c>
      <c r="BM71" s="185">
        <f t="shared" si="15"/>
        <v>-9.9703373691230937</v>
      </c>
      <c r="BN71" s="47">
        <f t="shared" si="8"/>
        <v>-3.1995938986429993</v>
      </c>
      <c r="BO71" s="41"/>
      <c r="BP71" s="42">
        <f t="shared" ref="BP71:BQ78" si="47">U71/N71</f>
        <v>0</v>
      </c>
      <c r="BQ71" s="42">
        <f t="shared" si="47"/>
        <v>0</v>
      </c>
      <c r="BR71" s="183">
        <f t="shared" si="42"/>
        <v>0</v>
      </c>
      <c r="BS71" s="183">
        <f t="shared" si="46"/>
        <v>0</v>
      </c>
      <c r="BT71" s="48"/>
      <c r="BU71" s="48">
        <f>(Q71-P71)/P71</f>
        <v>0</v>
      </c>
    </row>
    <row r="72" spans="1:73" s="14" customFormat="1" x14ac:dyDescent="0.25">
      <c r="A72" s="13"/>
      <c r="B72" s="59" t="s">
        <v>154</v>
      </c>
      <c r="C72" s="60">
        <v>3</v>
      </c>
      <c r="D72" s="61">
        <v>3</v>
      </c>
      <c r="E72" s="61">
        <v>3</v>
      </c>
      <c r="F72" s="145"/>
      <c r="G72" s="62">
        <v>0</v>
      </c>
      <c r="H72" s="60">
        <v>57</v>
      </c>
      <c r="I72" s="61">
        <v>55</v>
      </c>
      <c r="J72" s="61">
        <v>55</v>
      </c>
      <c r="K72" s="145"/>
      <c r="L72" s="62">
        <v>55</v>
      </c>
      <c r="M72" s="60">
        <v>17</v>
      </c>
      <c r="N72" s="61">
        <v>19</v>
      </c>
      <c r="O72" s="61">
        <v>17</v>
      </c>
      <c r="P72" s="145"/>
      <c r="Q72" s="62">
        <v>20</v>
      </c>
      <c r="R72" s="60">
        <v>0</v>
      </c>
      <c r="S72" s="61">
        <v>0</v>
      </c>
      <c r="T72" s="61">
        <v>0</v>
      </c>
      <c r="U72" s="61">
        <v>0</v>
      </c>
      <c r="V72" s="61">
        <v>5</v>
      </c>
      <c r="W72" s="145"/>
      <c r="X72" s="62">
        <v>4</v>
      </c>
      <c r="Y72" s="60" t="s">
        <v>146</v>
      </c>
      <c r="Z72" s="61" t="s">
        <v>146</v>
      </c>
      <c r="AA72" s="61" t="s">
        <v>146</v>
      </c>
      <c r="AB72" s="145" t="s">
        <v>147</v>
      </c>
      <c r="AC72" s="61" t="s">
        <v>94</v>
      </c>
      <c r="AD72" s="152"/>
      <c r="AE72" s="61" t="s">
        <v>94</v>
      </c>
      <c r="AF72" s="270">
        <v>8571</v>
      </c>
      <c r="AG72" s="65">
        <v>9029</v>
      </c>
      <c r="AH72" s="65">
        <v>9042</v>
      </c>
      <c r="AI72" s="65">
        <v>9687</v>
      </c>
      <c r="AJ72" s="65">
        <v>14892</v>
      </c>
      <c r="AK72" s="196"/>
      <c r="AL72" s="66">
        <v>15388</v>
      </c>
      <c r="AM72" s="270">
        <v>1907</v>
      </c>
      <c r="AN72" s="65">
        <v>1908</v>
      </c>
      <c r="AO72" s="65">
        <v>1240</v>
      </c>
      <c r="AP72" s="65">
        <v>2104</v>
      </c>
      <c r="AQ72" s="65">
        <v>3544</v>
      </c>
      <c r="AR72" s="196"/>
      <c r="AS72" s="66">
        <v>3009</v>
      </c>
      <c r="AT72" s="276">
        <f t="shared" si="26"/>
        <v>0.22249445805623613</v>
      </c>
      <c r="AU72" s="67">
        <f t="shared" si="27"/>
        <v>0.21131908295492302</v>
      </c>
      <c r="AV72" s="67">
        <f t="shared" si="28"/>
        <v>0.13713780137137802</v>
      </c>
      <c r="AW72" s="67">
        <f t="shared" si="29"/>
        <v>0.21719830700939402</v>
      </c>
      <c r="AX72" s="67">
        <f t="shared" si="30"/>
        <v>0.23798012355627182</v>
      </c>
      <c r="AY72" s="190"/>
      <c r="AZ72" s="68">
        <f t="shared" ref="AZ72:AZ134" si="48">AS72/AL72</f>
        <v>0.19554198076423188</v>
      </c>
      <c r="BA72" s="276" t="s">
        <v>226</v>
      </c>
      <c r="BB72" s="69">
        <f t="shared" si="9"/>
        <v>-1.1175375101313112</v>
      </c>
      <c r="BC72" s="69">
        <f t="shared" si="10"/>
        <v>-8.5356656684858123</v>
      </c>
      <c r="BD72" s="69">
        <f t="shared" si="11"/>
        <v>-0.52961510468421125</v>
      </c>
      <c r="BE72" s="69">
        <f t="shared" si="43"/>
        <v>1.548566550003569</v>
      </c>
      <c r="BF72" s="199"/>
      <c r="BG72" s="70">
        <f t="shared" ref="BG72:BG134" si="49">(AZ72-$AT72)*100</f>
        <v>-2.6952477292004255</v>
      </c>
      <c r="BH72" s="60" t="s">
        <v>226</v>
      </c>
      <c r="BI72" s="71">
        <f t="shared" si="13"/>
        <v>-1.1175375101313112</v>
      </c>
      <c r="BJ72" s="71">
        <f t="shared" si="14"/>
        <v>-7.4181281583545005</v>
      </c>
      <c r="BK72" s="71">
        <f t="shared" si="7"/>
        <v>8.0060505638016011</v>
      </c>
      <c r="BL72" s="71">
        <f t="shared" si="44"/>
        <v>2.0781816546877803</v>
      </c>
      <c r="BM72" s="200"/>
      <c r="BN72" s="72"/>
      <c r="BO72" s="276">
        <f t="shared" ref="BO72:BO78" si="50">T72/M72</f>
        <v>0</v>
      </c>
      <c r="BP72" s="67">
        <f t="shared" si="47"/>
        <v>0</v>
      </c>
      <c r="BQ72" s="67">
        <f t="shared" si="47"/>
        <v>0.29411764705882354</v>
      </c>
      <c r="BR72" s="190"/>
      <c r="BS72" s="190">
        <f t="shared" si="46"/>
        <v>0.2</v>
      </c>
      <c r="BT72" s="73"/>
      <c r="BU72" s="73"/>
    </row>
    <row r="73" spans="1:73" s="14" customFormat="1" x14ac:dyDescent="0.25">
      <c r="A73" s="13"/>
      <c r="B73" s="59" t="s">
        <v>155</v>
      </c>
      <c r="C73" s="60">
        <v>11</v>
      </c>
      <c r="D73" s="61">
        <v>13</v>
      </c>
      <c r="E73" s="61">
        <v>13</v>
      </c>
      <c r="F73" s="145">
        <v>0</v>
      </c>
      <c r="G73" s="62">
        <v>0</v>
      </c>
      <c r="H73" s="60">
        <v>154</v>
      </c>
      <c r="I73" s="61">
        <v>152</v>
      </c>
      <c r="J73" s="61">
        <v>152</v>
      </c>
      <c r="K73" s="145">
        <v>146</v>
      </c>
      <c r="L73" s="62">
        <v>145</v>
      </c>
      <c r="M73" s="60">
        <v>14</v>
      </c>
      <c r="N73" s="61">
        <v>17</v>
      </c>
      <c r="O73" s="61">
        <v>51</v>
      </c>
      <c r="P73" s="145">
        <v>60</v>
      </c>
      <c r="Q73" s="62">
        <v>54</v>
      </c>
      <c r="R73" s="60">
        <v>0</v>
      </c>
      <c r="S73" s="61">
        <v>0</v>
      </c>
      <c r="T73" s="61">
        <v>0</v>
      </c>
      <c r="U73" s="61">
        <v>0</v>
      </c>
      <c r="V73" s="61">
        <v>0</v>
      </c>
      <c r="W73" s="145">
        <v>0</v>
      </c>
      <c r="X73" s="62">
        <v>0</v>
      </c>
      <c r="Y73" s="60" t="s">
        <v>148</v>
      </c>
      <c r="Z73" s="61" t="s">
        <v>91</v>
      </c>
      <c r="AA73" s="61">
        <v>21.34</v>
      </c>
      <c r="AB73" s="145">
        <v>23.73</v>
      </c>
      <c r="AC73" s="61">
        <v>25.17</v>
      </c>
      <c r="AD73" s="152">
        <v>25.17</v>
      </c>
      <c r="AE73" s="152">
        <v>25.17</v>
      </c>
      <c r="AF73" s="270">
        <v>20750.02</v>
      </c>
      <c r="AG73" s="65">
        <v>24520.52</v>
      </c>
      <c r="AH73" s="65">
        <v>24935.64</v>
      </c>
      <c r="AI73" s="65">
        <v>36261.919999999998</v>
      </c>
      <c r="AJ73" s="65">
        <v>39404.58</v>
      </c>
      <c r="AK73" s="196">
        <v>42840.71</v>
      </c>
      <c r="AL73" s="66">
        <v>41418.839999999997</v>
      </c>
      <c r="AM73" s="270">
        <v>1029.8399999999999</v>
      </c>
      <c r="AN73" s="65">
        <v>1218.6400000000001</v>
      </c>
      <c r="AO73" s="65">
        <v>1517.81</v>
      </c>
      <c r="AP73" s="65">
        <v>5732.87</v>
      </c>
      <c r="AQ73" s="65">
        <v>4727.6000000000004</v>
      </c>
      <c r="AR73" s="196">
        <v>5425.65</v>
      </c>
      <c r="AS73" s="66">
        <v>1434.36</v>
      </c>
      <c r="AT73" s="276">
        <f t="shared" si="26"/>
        <v>4.963079553658261E-2</v>
      </c>
      <c r="AU73" s="67">
        <f t="shared" si="27"/>
        <v>4.9698782896936938E-2</v>
      </c>
      <c r="AV73" s="67">
        <f t="shared" si="28"/>
        <v>6.0869101414681957E-2</v>
      </c>
      <c r="AW73" s="67">
        <f t="shared" si="29"/>
        <v>0.15809615155513002</v>
      </c>
      <c r="AX73" s="67">
        <f t="shared" si="30"/>
        <v>0.11997590127848083</v>
      </c>
      <c r="AY73" s="190">
        <f t="shared" ref="AY73:AY135" si="51">AR73/AK73</f>
        <v>0.12664706070464285</v>
      </c>
      <c r="AZ73" s="68">
        <f t="shared" si="48"/>
        <v>3.4630617371225268E-2</v>
      </c>
      <c r="BA73" s="276" t="s">
        <v>226</v>
      </c>
      <c r="BB73" s="69">
        <f t="shared" si="9"/>
        <v>6.798736035432823E-3</v>
      </c>
      <c r="BC73" s="69">
        <f t="shared" si="10"/>
        <v>1.1238305878099348</v>
      </c>
      <c r="BD73" s="69">
        <f t="shared" si="11"/>
        <v>10.84653560185474</v>
      </c>
      <c r="BE73" s="69">
        <f t="shared" si="43"/>
        <v>7.0345105741898228</v>
      </c>
      <c r="BF73" s="199">
        <f>(AY73-$AT73)*100</f>
        <v>7.7016265168060229</v>
      </c>
      <c r="BG73" s="70">
        <f t="shared" si="49"/>
        <v>-1.5000178165357343</v>
      </c>
      <c r="BH73" s="60" t="s">
        <v>226</v>
      </c>
      <c r="BI73" s="71">
        <f t="shared" si="13"/>
        <v>6.798736035432823E-3</v>
      </c>
      <c r="BJ73" s="71">
        <f t="shared" si="14"/>
        <v>1.1170318517745019</v>
      </c>
      <c r="BK73" s="71">
        <f t="shared" si="7"/>
        <v>9.7227050140448057</v>
      </c>
      <c r="BL73" s="71">
        <f t="shared" si="44"/>
        <v>-3.8120250276649186</v>
      </c>
      <c r="BM73" s="200">
        <f>(AY73-AX73)*100</f>
        <v>0.66711594261620188</v>
      </c>
      <c r="BN73" s="72">
        <f t="shared" ref="BN73:BN134" si="52">(AZ73-AY73)*100</f>
        <v>-9.2016443333417577</v>
      </c>
      <c r="BO73" s="276">
        <f t="shared" si="50"/>
        <v>0</v>
      </c>
      <c r="BP73" s="67">
        <f t="shared" si="47"/>
        <v>0</v>
      </c>
      <c r="BQ73" s="67">
        <f t="shared" si="47"/>
        <v>0</v>
      </c>
      <c r="BR73" s="190">
        <f>W73/P73</f>
        <v>0</v>
      </c>
      <c r="BS73" s="190">
        <f t="shared" si="46"/>
        <v>0</v>
      </c>
      <c r="BT73" s="73">
        <f t="shared" ref="BT73:BT134" si="53">(AE73-AD73)/AD73</f>
        <v>0</v>
      </c>
      <c r="BU73" s="73">
        <f>(Q73-P73)/P73</f>
        <v>-0.1</v>
      </c>
    </row>
    <row r="74" spans="1:73" s="14" customFormat="1" x14ac:dyDescent="0.25">
      <c r="A74" s="13"/>
      <c r="B74" s="59" t="s">
        <v>156</v>
      </c>
      <c r="C74" s="60">
        <v>7</v>
      </c>
      <c r="D74" s="61">
        <v>7</v>
      </c>
      <c r="E74" s="61">
        <v>7</v>
      </c>
      <c r="F74" s="145"/>
      <c r="G74" s="62">
        <v>7</v>
      </c>
      <c r="H74" s="60">
        <v>177</v>
      </c>
      <c r="I74" s="61">
        <v>177</v>
      </c>
      <c r="J74" s="61">
        <v>177</v>
      </c>
      <c r="K74" s="145"/>
      <c r="L74" s="62">
        <v>181</v>
      </c>
      <c r="M74" s="60">
        <v>102</v>
      </c>
      <c r="N74" s="61">
        <v>98</v>
      </c>
      <c r="O74" s="61">
        <v>103</v>
      </c>
      <c r="P74" s="145"/>
      <c r="Q74" s="62">
        <v>110</v>
      </c>
      <c r="R74" s="60">
        <v>19</v>
      </c>
      <c r="S74" s="61">
        <v>2</v>
      </c>
      <c r="T74" s="61">
        <v>3</v>
      </c>
      <c r="U74" s="61">
        <v>37</v>
      </c>
      <c r="V74" s="61">
        <v>19</v>
      </c>
      <c r="W74" s="145"/>
      <c r="X74" s="62">
        <v>4</v>
      </c>
      <c r="Y74" s="60">
        <v>21.33</v>
      </c>
      <c r="Z74" s="61">
        <v>23.64</v>
      </c>
      <c r="AA74" s="61">
        <v>29.25</v>
      </c>
      <c r="AB74" s="145">
        <v>34.11</v>
      </c>
      <c r="AC74" s="61">
        <v>34.11</v>
      </c>
      <c r="AD74" s="152"/>
      <c r="AE74" s="64">
        <v>37.21</v>
      </c>
      <c r="AF74" s="270">
        <v>26286.17</v>
      </c>
      <c r="AG74" s="65">
        <v>25155.74</v>
      </c>
      <c r="AH74" s="65">
        <v>33971.15</v>
      </c>
      <c r="AI74" s="65">
        <v>39911.67</v>
      </c>
      <c r="AJ74" s="65">
        <v>48610.23</v>
      </c>
      <c r="AK74" s="196"/>
      <c r="AL74" s="66">
        <v>46615.93</v>
      </c>
      <c r="AM74" s="270">
        <v>580.37</v>
      </c>
      <c r="AN74" s="65">
        <v>788.68</v>
      </c>
      <c r="AO74" s="65">
        <v>2010.82</v>
      </c>
      <c r="AP74" s="65">
        <v>3847.74</v>
      </c>
      <c r="AQ74" s="65">
        <v>12548.27</v>
      </c>
      <c r="AR74" s="196"/>
      <c r="AS74" s="66">
        <v>15689.67</v>
      </c>
      <c r="AT74" s="276">
        <f t="shared" si="26"/>
        <v>2.2078910697146067E-2</v>
      </c>
      <c r="AU74" s="67">
        <f t="shared" si="27"/>
        <v>3.1351890264408835E-2</v>
      </c>
      <c r="AV74" s="67">
        <f t="shared" si="28"/>
        <v>5.9191990851060382E-2</v>
      </c>
      <c r="AW74" s="67">
        <f t="shared" si="29"/>
        <v>9.6406389409413332E-2</v>
      </c>
      <c r="AX74" s="67">
        <f t="shared" si="30"/>
        <v>0.25814051898129259</v>
      </c>
      <c r="AY74" s="190"/>
      <c r="AZ74" s="68">
        <f t="shared" si="48"/>
        <v>0.33657314141324651</v>
      </c>
      <c r="BA74" s="276" t="s">
        <v>226</v>
      </c>
      <c r="BB74" s="69">
        <f t="shared" si="9"/>
        <v>0.92729795672627691</v>
      </c>
      <c r="BC74" s="69">
        <f t="shared" si="10"/>
        <v>3.711308015391432</v>
      </c>
      <c r="BD74" s="69">
        <f t="shared" si="11"/>
        <v>7.4327478712267263</v>
      </c>
      <c r="BE74" s="69">
        <f t="shared" si="43"/>
        <v>23.606160828414652</v>
      </c>
      <c r="BF74" s="199"/>
      <c r="BG74" s="70">
        <f t="shared" si="49"/>
        <v>31.449423071610045</v>
      </c>
      <c r="BH74" s="60" t="s">
        <v>226</v>
      </c>
      <c r="BI74" s="71">
        <f t="shared" si="13"/>
        <v>0.92729795672627691</v>
      </c>
      <c r="BJ74" s="71">
        <f t="shared" si="14"/>
        <v>2.7840100586651548</v>
      </c>
      <c r="BK74" s="71">
        <f t="shared" si="7"/>
        <v>3.7214398558352948</v>
      </c>
      <c r="BL74" s="71">
        <f t="shared" si="44"/>
        <v>16.173412957187928</v>
      </c>
      <c r="BM74" s="200"/>
      <c r="BN74" s="72"/>
      <c r="BO74" s="276">
        <f t="shared" si="50"/>
        <v>2.9411764705882353E-2</v>
      </c>
      <c r="BP74" s="67">
        <f t="shared" si="47"/>
        <v>0.37755102040816324</v>
      </c>
      <c r="BQ74" s="67">
        <f t="shared" si="47"/>
        <v>0.18446601941747573</v>
      </c>
      <c r="BR74" s="190"/>
      <c r="BS74" s="190">
        <f t="shared" si="46"/>
        <v>3.6363636363636362E-2</v>
      </c>
      <c r="BT74" s="73"/>
      <c r="BU74" s="73"/>
    </row>
    <row r="75" spans="1:73" s="14" customFormat="1" x14ac:dyDescent="0.25">
      <c r="A75" s="13"/>
      <c r="B75" s="59" t="s">
        <v>157</v>
      </c>
      <c r="C75" s="60">
        <v>7</v>
      </c>
      <c r="D75" s="61">
        <v>6</v>
      </c>
      <c r="E75" s="61">
        <v>4</v>
      </c>
      <c r="F75" s="145">
        <v>4</v>
      </c>
      <c r="G75" s="62">
        <v>4</v>
      </c>
      <c r="H75" s="60">
        <v>151</v>
      </c>
      <c r="I75" s="61">
        <v>139</v>
      </c>
      <c r="J75" s="61">
        <v>94</v>
      </c>
      <c r="K75" s="145">
        <v>96</v>
      </c>
      <c r="L75" s="62">
        <v>96</v>
      </c>
      <c r="M75" s="60">
        <v>82</v>
      </c>
      <c r="N75" s="61">
        <v>96</v>
      </c>
      <c r="O75" s="61">
        <v>84</v>
      </c>
      <c r="P75" s="145">
        <v>73</v>
      </c>
      <c r="Q75" s="62">
        <v>69</v>
      </c>
      <c r="R75" s="60">
        <v>29</v>
      </c>
      <c r="S75" s="61">
        <v>1</v>
      </c>
      <c r="T75" s="61">
        <v>7</v>
      </c>
      <c r="U75" s="61">
        <v>38</v>
      </c>
      <c r="V75" s="61">
        <v>22</v>
      </c>
      <c r="W75" s="145">
        <v>12</v>
      </c>
      <c r="X75" s="62">
        <v>1</v>
      </c>
      <c r="Y75" s="85">
        <v>18.5</v>
      </c>
      <c r="Z75" s="63">
        <v>18.5</v>
      </c>
      <c r="AA75" s="63">
        <v>28.5</v>
      </c>
      <c r="AB75" s="145">
        <v>32.75</v>
      </c>
      <c r="AC75" s="61">
        <v>32.75</v>
      </c>
      <c r="AD75" s="152">
        <v>32.75</v>
      </c>
      <c r="AE75" s="152">
        <v>32.75</v>
      </c>
      <c r="AF75" s="270">
        <v>17995.41</v>
      </c>
      <c r="AG75" s="65">
        <v>18464.64</v>
      </c>
      <c r="AH75" s="65">
        <v>23410.33</v>
      </c>
      <c r="AI75" s="65">
        <v>31191.75</v>
      </c>
      <c r="AJ75" s="65">
        <v>24931.5</v>
      </c>
      <c r="AK75" s="196">
        <v>26452.13</v>
      </c>
      <c r="AL75" s="66">
        <v>24866.29</v>
      </c>
      <c r="AM75" s="270">
        <v>1298.24</v>
      </c>
      <c r="AN75" s="65">
        <v>1382.28</v>
      </c>
      <c r="AO75" s="65">
        <v>2646.78</v>
      </c>
      <c r="AP75" s="65">
        <v>3668.45</v>
      </c>
      <c r="AQ75" s="65">
        <v>7205.17</v>
      </c>
      <c r="AR75" s="196">
        <v>16082.99</v>
      </c>
      <c r="AS75" s="66">
        <v>4903</v>
      </c>
      <c r="AT75" s="276">
        <f t="shared" si="26"/>
        <v>7.2142840868866007E-2</v>
      </c>
      <c r="AU75" s="67">
        <f t="shared" si="27"/>
        <v>7.4860923364874696E-2</v>
      </c>
      <c r="AV75" s="67">
        <f t="shared" si="28"/>
        <v>0.11306034558248432</v>
      </c>
      <c r="AW75" s="67">
        <f t="shared" si="29"/>
        <v>0.11760962433976932</v>
      </c>
      <c r="AX75" s="67">
        <f t="shared" si="30"/>
        <v>0.28899865631831217</v>
      </c>
      <c r="AY75" s="190">
        <f t="shared" si="51"/>
        <v>0.60800358988104164</v>
      </c>
      <c r="AZ75" s="68">
        <f t="shared" si="48"/>
        <v>0.19717456846196196</v>
      </c>
      <c r="BA75" s="276" t="s">
        <v>226</v>
      </c>
      <c r="BB75" s="69">
        <f t="shared" si="9"/>
        <v>0.27180824960086891</v>
      </c>
      <c r="BC75" s="69">
        <f t="shared" si="10"/>
        <v>4.0917504713618307</v>
      </c>
      <c r="BD75" s="69">
        <f t="shared" si="11"/>
        <v>4.5466783470903316</v>
      </c>
      <c r="BE75" s="69">
        <f t="shared" si="43"/>
        <v>21.685581544944615</v>
      </c>
      <c r="BF75" s="199">
        <f>(AY75-$AT75)*100</f>
        <v>53.586074901217565</v>
      </c>
      <c r="BG75" s="70">
        <f t="shared" si="49"/>
        <v>12.503172759309594</v>
      </c>
      <c r="BH75" s="60" t="s">
        <v>226</v>
      </c>
      <c r="BI75" s="71">
        <f t="shared" si="13"/>
        <v>0.27180824960086891</v>
      </c>
      <c r="BJ75" s="71">
        <f t="shared" si="14"/>
        <v>3.8199422217609622</v>
      </c>
      <c r="BK75" s="71">
        <f t="shared" si="7"/>
        <v>0.45492787572850024</v>
      </c>
      <c r="BL75" s="71">
        <f t="shared" si="44"/>
        <v>17.138903197854287</v>
      </c>
      <c r="BM75" s="200">
        <f>(AY75-AX75)*100</f>
        <v>31.900493356272946</v>
      </c>
      <c r="BN75" s="72">
        <f t="shared" si="52"/>
        <v>-41.082902141907965</v>
      </c>
      <c r="BO75" s="276">
        <f t="shared" si="50"/>
        <v>8.5365853658536592E-2</v>
      </c>
      <c r="BP75" s="67">
        <f t="shared" si="47"/>
        <v>0.39583333333333331</v>
      </c>
      <c r="BQ75" s="67">
        <f t="shared" si="47"/>
        <v>0.26190476190476192</v>
      </c>
      <c r="BR75" s="190">
        <f>W75/P75</f>
        <v>0.16438356164383561</v>
      </c>
      <c r="BS75" s="190">
        <f t="shared" si="46"/>
        <v>1.4492753623188406E-2</v>
      </c>
      <c r="BT75" s="73">
        <f t="shared" si="53"/>
        <v>0</v>
      </c>
      <c r="BU75" s="73">
        <f>(Q75-P75)/P75</f>
        <v>-5.4794520547945202E-2</v>
      </c>
    </row>
    <row r="76" spans="1:73" s="14" customFormat="1" x14ac:dyDescent="0.25">
      <c r="A76" s="13"/>
      <c r="B76" s="59" t="s">
        <v>159</v>
      </c>
      <c r="C76" s="60">
        <v>0</v>
      </c>
      <c r="D76" s="61">
        <v>0</v>
      </c>
      <c r="E76" s="61">
        <v>0</v>
      </c>
      <c r="F76" s="145">
        <v>0</v>
      </c>
      <c r="G76" s="62">
        <v>0</v>
      </c>
      <c r="H76" s="60">
        <v>72</v>
      </c>
      <c r="I76" s="61">
        <v>70</v>
      </c>
      <c r="J76" s="61">
        <v>70</v>
      </c>
      <c r="K76" s="145">
        <v>72</v>
      </c>
      <c r="L76" s="62">
        <v>71</v>
      </c>
      <c r="M76" s="60">
        <v>58</v>
      </c>
      <c r="N76" s="61">
        <v>61</v>
      </c>
      <c r="O76" s="61">
        <v>43</v>
      </c>
      <c r="P76" s="145">
        <v>44</v>
      </c>
      <c r="Q76" s="62">
        <v>46</v>
      </c>
      <c r="R76" s="60">
        <v>0</v>
      </c>
      <c r="S76" s="61">
        <v>0</v>
      </c>
      <c r="T76" s="61">
        <v>1</v>
      </c>
      <c r="U76" s="61">
        <v>0</v>
      </c>
      <c r="V76" s="61">
        <v>0</v>
      </c>
      <c r="W76" s="145">
        <v>2</v>
      </c>
      <c r="X76" s="62">
        <v>4</v>
      </c>
      <c r="Y76" s="60" t="s">
        <v>149</v>
      </c>
      <c r="Z76" s="61" t="s">
        <v>80</v>
      </c>
      <c r="AA76" s="61" t="s">
        <v>150</v>
      </c>
      <c r="AB76" s="145" t="s">
        <v>151</v>
      </c>
      <c r="AC76" s="61" t="s">
        <v>151</v>
      </c>
      <c r="AD76" s="145" t="s">
        <v>151</v>
      </c>
      <c r="AE76" s="145" t="s">
        <v>151</v>
      </c>
      <c r="AF76" s="270">
        <v>12548.6</v>
      </c>
      <c r="AG76" s="65">
        <v>11862.5</v>
      </c>
      <c r="AH76" s="65">
        <v>16102.27</v>
      </c>
      <c r="AI76" s="65">
        <v>17446.2</v>
      </c>
      <c r="AJ76" s="65">
        <v>17821.64</v>
      </c>
      <c r="AK76" s="196">
        <v>19308</v>
      </c>
      <c r="AL76" s="66">
        <v>21098.26</v>
      </c>
      <c r="AM76" s="270">
        <v>3858.63</v>
      </c>
      <c r="AN76" s="65">
        <v>5285.49</v>
      </c>
      <c r="AO76" s="65">
        <v>3575.88</v>
      </c>
      <c r="AP76" s="65">
        <v>5069.87</v>
      </c>
      <c r="AQ76" s="65">
        <v>7647.61</v>
      </c>
      <c r="AR76" s="196">
        <v>3602</v>
      </c>
      <c r="AS76" s="66">
        <v>2040.74</v>
      </c>
      <c r="AT76" s="276">
        <f t="shared" si="26"/>
        <v>0.30749485998438075</v>
      </c>
      <c r="AU76" s="67">
        <f t="shared" si="27"/>
        <v>0.44556290832455214</v>
      </c>
      <c r="AV76" s="67">
        <f t="shared" si="28"/>
        <v>0.22207303690721866</v>
      </c>
      <c r="AW76" s="67">
        <f t="shared" si="29"/>
        <v>0.29060024532562961</v>
      </c>
      <c r="AX76" s="67">
        <f t="shared" si="30"/>
        <v>0.4291193178630025</v>
      </c>
      <c r="AY76" s="190">
        <f t="shared" si="51"/>
        <v>0.18655479593950694</v>
      </c>
      <c r="AZ76" s="68">
        <f t="shared" si="48"/>
        <v>9.6725511961649926E-2</v>
      </c>
      <c r="BA76" s="276" t="s">
        <v>226</v>
      </c>
      <c r="BB76" s="69">
        <f t="shared" si="9"/>
        <v>13.806804834017139</v>
      </c>
      <c r="BC76" s="69">
        <f t="shared" si="10"/>
        <v>-8.5421823077162085</v>
      </c>
      <c r="BD76" s="69">
        <f t="shared" si="11"/>
        <v>-1.6894614658751139</v>
      </c>
      <c r="BE76" s="69">
        <f t="shared" si="43"/>
        <v>12.162445787862175</v>
      </c>
      <c r="BF76" s="199">
        <f>(AY76-$AT76)*100</f>
        <v>-12.094006404487381</v>
      </c>
      <c r="BG76" s="70">
        <f t="shared" si="49"/>
        <v>-21.076934802273083</v>
      </c>
      <c r="BH76" s="60" t="s">
        <v>226</v>
      </c>
      <c r="BI76" s="71">
        <f t="shared" si="13"/>
        <v>13.806804834017139</v>
      </c>
      <c r="BJ76" s="71">
        <f t="shared" si="14"/>
        <v>-22.34898714173335</v>
      </c>
      <c r="BK76" s="71">
        <f t="shared" si="7"/>
        <v>6.8527208418410952</v>
      </c>
      <c r="BL76" s="71">
        <f t="shared" si="44"/>
        <v>13.85190725373729</v>
      </c>
      <c r="BM76" s="200">
        <f>(AY76-AX76)*100</f>
        <v>-24.256452192349556</v>
      </c>
      <c r="BN76" s="72">
        <f t="shared" si="52"/>
        <v>-8.9829283977857006</v>
      </c>
      <c r="BO76" s="276">
        <f t="shared" si="50"/>
        <v>1.7241379310344827E-2</v>
      </c>
      <c r="BP76" s="67">
        <f t="shared" si="47"/>
        <v>0</v>
      </c>
      <c r="BQ76" s="67">
        <f t="shared" si="47"/>
        <v>0</v>
      </c>
      <c r="BR76" s="190">
        <f>W76/P76</f>
        <v>4.5454545454545456E-2</v>
      </c>
      <c r="BS76" s="190">
        <f t="shared" si="46"/>
        <v>8.6956521739130432E-2</v>
      </c>
      <c r="BT76" s="73"/>
      <c r="BU76" s="73">
        <f>(Q76-P76)/P76</f>
        <v>4.5454545454545456E-2</v>
      </c>
    </row>
    <row r="77" spans="1:73" s="9" customFormat="1" x14ac:dyDescent="0.25">
      <c r="A77" s="12">
        <v>34</v>
      </c>
      <c r="B77" s="17" t="s">
        <v>406</v>
      </c>
      <c r="C77" s="2">
        <v>0</v>
      </c>
      <c r="D77" s="3">
        <v>0</v>
      </c>
      <c r="E77" s="3">
        <v>0</v>
      </c>
      <c r="F77" s="144">
        <v>0</v>
      </c>
      <c r="G77" s="4">
        <v>0</v>
      </c>
      <c r="H77" s="2">
        <v>1310</v>
      </c>
      <c r="I77" s="3">
        <v>1310</v>
      </c>
      <c r="J77" s="3">
        <v>1310</v>
      </c>
      <c r="K77" s="144">
        <v>1313</v>
      </c>
      <c r="L77" s="4">
        <v>1305</v>
      </c>
      <c r="M77" s="2">
        <v>139</v>
      </c>
      <c r="N77" s="3">
        <v>180</v>
      </c>
      <c r="O77" s="3">
        <v>219</v>
      </c>
      <c r="P77" s="144">
        <v>245</v>
      </c>
      <c r="Q77" s="4">
        <v>221</v>
      </c>
      <c r="R77" s="2">
        <v>5</v>
      </c>
      <c r="S77" s="3">
        <v>7</v>
      </c>
      <c r="T77" s="3">
        <v>15</v>
      </c>
      <c r="U77" s="3">
        <v>18</v>
      </c>
      <c r="V77" s="3">
        <v>20</v>
      </c>
      <c r="W77" s="144">
        <v>19</v>
      </c>
      <c r="X77" s="4">
        <v>25</v>
      </c>
      <c r="Y77" s="2"/>
      <c r="Z77" s="3"/>
      <c r="AA77" s="3"/>
      <c r="AB77" s="144"/>
      <c r="AC77" s="3"/>
      <c r="AD77" s="153">
        <v>42.58</v>
      </c>
      <c r="AE77" s="86">
        <v>44.95</v>
      </c>
      <c r="AF77" s="19">
        <v>335753</v>
      </c>
      <c r="AG77" s="20">
        <v>317684</v>
      </c>
      <c r="AH77" s="20">
        <v>414698</v>
      </c>
      <c r="AI77" s="20">
        <v>400623</v>
      </c>
      <c r="AJ77" s="20">
        <v>464020</v>
      </c>
      <c r="AK77" s="210">
        <v>519687</v>
      </c>
      <c r="AL77" s="21">
        <v>595987.27</v>
      </c>
      <c r="AM77" s="19">
        <v>28738</v>
      </c>
      <c r="AN77" s="20">
        <v>27938</v>
      </c>
      <c r="AO77" s="20">
        <v>36736</v>
      </c>
      <c r="AP77" s="20">
        <v>79444</v>
      </c>
      <c r="AQ77" s="20">
        <v>113228</v>
      </c>
      <c r="AR77" s="210">
        <v>26058</v>
      </c>
      <c r="AS77" s="21">
        <v>30145.599999999999</v>
      </c>
      <c r="AT77" s="50">
        <f t="shared" si="26"/>
        <v>8.5592682716163368E-2</v>
      </c>
      <c r="AU77" s="51">
        <f t="shared" si="27"/>
        <v>8.7942735548532505E-2</v>
      </c>
      <c r="AV77" s="51">
        <f t="shared" si="28"/>
        <v>8.8584946153586461E-2</v>
      </c>
      <c r="AW77" s="51">
        <f t="shared" si="29"/>
        <v>0.19830114596515927</v>
      </c>
      <c r="AX77" s="51">
        <f t="shared" si="30"/>
        <v>0.24401534416619974</v>
      </c>
      <c r="AY77" s="211">
        <f t="shared" si="51"/>
        <v>5.0141719919874851E-2</v>
      </c>
      <c r="AZ77" s="52">
        <f t="shared" si="48"/>
        <v>5.0580946133295765E-2</v>
      </c>
      <c r="BA77" s="50" t="s">
        <v>226</v>
      </c>
      <c r="BB77" s="53">
        <f t="shared" si="9"/>
        <v>0.23500528323691372</v>
      </c>
      <c r="BC77" s="53">
        <f t="shared" si="10"/>
        <v>0.29922634374230928</v>
      </c>
      <c r="BD77" s="53">
        <f t="shared" si="11"/>
        <v>11.27084632489959</v>
      </c>
      <c r="BE77" s="53">
        <f t="shared" si="43"/>
        <v>15.842266145003636</v>
      </c>
      <c r="BF77" s="212">
        <f>(AY77-$AT77)*100</f>
        <v>-3.5450962796288517</v>
      </c>
      <c r="BG77" s="54">
        <f t="shared" si="49"/>
        <v>-3.5011736582867603</v>
      </c>
      <c r="BH77" s="2" t="s">
        <v>226</v>
      </c>
      <c r="BI77" s="55">
        <f t="shared" si="13"/>
        <v>0.23500528323691372</v>
      </c>
      <c r="BJ77" s="55">
        <f t="shared" si="14"/>
        <v>6.4221060505395555E-2</v>
      </c>
      <c r="BK77" s="55">
        <f t="shared" si="7"/>
        <v>10.97161998115728</v>
      </c>
      <c r="BL77" s="55">
        <f t="shared" si="44"/>
        <v>4.5714198201040475</v>
      </c>
      <c r="BM77" s="213">
        <f>(AY77-AX77)*100</f>
        <v>-19.387362424632489</v>
      </c>
      <c r="BN77" s="56">
        <f t="shared" si="52"/>
        <v>4.3922621342091378E-2</v>
      </c>
      <c r="BO77" s="50">
        <f t="shared" si="50"/>
        <v>0.1079136690647482</v>
      </c>
      <c r="BP77" s="51">
        <f t="shared" si="47"/>
        <v>0.1</v>
      </c>
      <c r="BQ77" s="51">
        <f t="shared" si="47"/>
        <v>9.1324200913242004E-2</v>
      </c>
      <c r="BR77" s="211">
        <f>W77/P77</f>
        <v>7.7551020408163265E-2</v>
      </c>
      <c r="BS77" s="211">
        <f t="shared" si="46"/>
        <v>0.11312217194570136</v>
      </c>
      <c r="BT77" s="57">
        <f t="shared" si="53"/>
        <v>5.5659934241428011E-2</v>
      </c>
      <c r="BU77" s="57">
        <f>(Q77-P77)/P77</f>
        <v>-9.7959183673469383E-2</v>
      </c>
    </row>
    <row r="78" spans="1:73" s="14" customFormat="1" x14ac:dyDescent="0.25">
      <c r="A78" s="13">
        <v>35</v>
      </c>
      <c r="B78" s="59" t="s">
        <v>291</v>
      </c>
      <c r="C78" s="60">
        <v>18</v>
      </c>
      <c r="D78" s="61">
        <v>18</v>
      </c>
      <c r="E78" s="61">
        <v>18</v>
      </c>
      <c r="F78" s="145"/>
      <c r="G78" s="62"/>
      <c r="H78" s="60">
        <v>4</v>
      </c>
      <c r="I78" s="61">
        <v>4</v>
      </c>
      <c r="J78" s="61">
        <v>4</v>
      </c>
      <c r="K78" s="145"/>
      <c r="L78" s="62"/>
      <c r="M78" s="60">
        <v>119</v>
      </c>
      <c r="N78" s="61">
        <v>167</v>
      </c>
      <c r="O78" s="61">
        <v>170</v>
      </c>
      <c r="P78" s="145"/>
      <c r="Q78" s="62"/>
      <c r="R78" s="60">
        <v>0</v>
      </c>
      <c r="S78" s="61">
        <v>1</v>
      </c>
      <c r="T78" s="61">
        <v>0</v>
      </c>
      <c r="U78" s="61">
        <v>0</v>
      </c>
      <c r="V78" s="61">
        <v>4</v>
      </c>
      <c r="W78" s="145"/>
      <c r="X78" s="62"/>
      <c r="Y78" s="85">
        <f>(28.03+33.38+32.2)/3</f>
        <v>31.203333333333337</v>
      </c>
      <c r="Z78" s="63">
        <f>(32.2+40.45)/2</f>
        <v>36.325000000000003</v>
      </c>
      <c r="AA78" s="61"/>
      <c r="AB78" s="145"/>
      <c r="AC78" s="61"/>
      <c r="AD78" s="152"/>
      <c r="AE78" s="64"/>
      <c r="AF78" s="270">
        <v>130342</v>
      </c>
      <c r="AG78" s="65">
        <v>138359</v>
      </c>
      <c r="AH78" s="65">
        <v>172517</v>
      </c>
      <c r="AI78" s="65">
        <v>254408</v>
      </c>
      <c r="AJ78" s="65">
        <v>221831</v>
      </c>
      <c r="AK78" s="196"/>
      <c r="AL78" s="66"/>
      <c r="AM78" s="270">
        <v>3808</v>
      </c>
      <c r="AN78" s="65">
        <v>4201</v>
      </c>
      <c r="AO78" s="65">
        <v>6449</v>
      </c>
      <c r="AP78" s="65">
        <v>19035</v>
      </c>
      <c r="AQ78" s="65">
        <v>28459</v>
      </c>
      <c r="AR78" s="196"/>
      <c r="AS78" s="66"/>
      <c r="AT78" s="276">
        <f t="shared" si="26"/>
        <v>2.9215448589096377E-2</v>
      </c>
      <c r="AU78" s="67">
        <f t="shared" si="27"/>
        <v>3.0363041074306697E-2</v>
      </c>
      <c r="AV78" s="67">
        <f t="shared" si="28"/>
        <v>3.7381823240608174E-2</v>
      </c>
      <c r="AW78" s="67">
        <f t="shared" si="29"/>
        <v>7.4820760353448007E-2</v>
      </c>
      <c r="AX78" s="67">
        <f t="shared" si="30"/>
        <v>0.12829135693388211</v>
      </c>
      <c r="AY78" s="190"/>
      <c r="AZ78" s="68"/>
      <c r="BA78" s="276" t="s">
        <v>226</v>
      </c>
      <c r="BB78" s="69">
        <f t="shared" si="9"/>
        <v>0.11475924852103192</v>
      </c>
      <c r="BC78" s="69">
        <f t="shared" si="10"/>
        <v>0.81663746515117963</v>
      </c>
      <c r="BD78" s="69">
        <f t="shared" si="11"/>
        <v>4.5605311764351635</v>
      </c>
      <c r="BE78" s="69">
        <f t="shared" si="43"/>
        <v>9.9075908344785724</v>
      </c>
      <c r="BF78" s="199"/>
      <c r="BG78" s="70"/>
      <c r="BH78" s="60" t="s">
        <v>226</v>
      </c>
      <c r="BI78" s="71">
        <f t="shared" si="13"/>
        <v>0.11475924852103192</v>
      </c>
      <c r="BJ78" s="71">
        <f t="shared" si="14"/>
        <v>0.70187821663014771</v>
      </c>
      <c r="BK78" s="71">
        <f t="shared" si="7"/>
        <v>3.7438937112839832</v>
      </c>
      <c r="BL78" s="71">
        <f t="shared" si="44"/>
        <v>5.3470596580434098</v>
      </c>
      <c r="BM78" s="200"/>
      <c r="BN78" s="72"/>
      <c r="BO78" s="276">
        <f t="shared" si="50"/>
        <v>0</v>
      </c>
      <c r="BP78" s="67">
        <f t="shared" si="47"/>
        <v>0</v>
      </c>
      <c r="BQ78" s="67">
        <f t="shared" si="47"/>
        <v>2.3529411764705882E-2</v>
      </c>
      <c r="BR78" s="190"/>
      <c r="BS78" s="190"/>
      <c r="BT78" s="73"/>
      <c r="BU78" s="73"/>
    </row>
    <row r="79" spans="1:73" x14ac:dyDescent="0.25">
      <c r="A79" s="13">
        <v>36</v>
      </c>
      <c r="B79" s="59" t="s">
        <v>377</v>
      </c>
      <c r="C79" s="60"/>
      <c r="D79" s="61"/>
      <c r="E79" s="61"/>
      <c r="F79" s="145"/>
      <c r="G79" s="62">
        <v>0</v>
      </c>
      <c r="H79" s="60"/>
      <c r="I79" s="61"/>
      <c r="J79" s="61"/>
      <c r="K79" s="145"/>
      <c r="L79" s="62">
        <v>151</v>
      </c>
      <c r="M79" s="60"/>
      <c r="N79" s="61"/>
      <c r="O79" s="61"/>
      <c r="P79" s="145"/>
      <c r="Q79" s="62">
        <v>21</v>
      </c>
      <c r="R79" s="60"/>
      <c r="S79" s="61"/>
      <c r="T79" s="61"/>
      <c r="U79" s="61"/>
      <c r="V79" s="61"/>
      <c r="W79" s="145"/>
      <c r="X79" s="62">
        <v>1</v>
      </c>
      <c r="Y79" s="60"/>
      <c r="Z79" s="61"/>
      <c r="AA79" s="61"/>
      <c r="AB79" s="145"/>
      <c r="AC79" s="61"/>
      <c r="AD79" s="152"/>
      <c r="AE79" s="64">
        <v>33</v>
      </c>
      <c r="AF79" s="270"/>
      <c r="AG79" s="65"/>
      <c r="AH79" s="65"/>
      <c r="AI79" s="65"/>
      <c r="AJ79" s="65"/>
      <c r="AK79" s="196"/>
      <c r="AL79" s="66">
        <v>42542</v>
      </c>
      <c r="AM79" s="270"/>
      <c r="AN79" s="65"/>
      <c r="AO79" s="65"/>
      <c r="AP79" s="65"/>
      <c r="AQ79" s="65"/>
      <c r="AR79" s="196"/>
      <c r="AS79" s="66">
        <v>4863</v>
      </c>
      <c r="AT79" s="276"/>
      <c r="AU79" s="67"/>
      <c r="AV79" s="67"/>
      <c r="AW79" s="67"/>
      <c r="AX79" s="67"/>
      <c r="AY79" s="190"/>
      <c r="AZ79" s="68">
        <f t="shared" si="48"/>
        <v>0.11431056367824738</v>
      </c>
      <c r="BA79" s="276" t="s">
        <v>226</v>
      </c>
      <c r="BB79" s="69"/>
      <c r="BC79" s="69"/>
      <c r="BD79" s="69"/>
      <c r="BE79" s="69"/>
      <c r="BF79" s="199"/>
      <c r="BG79" s="70"/>
      <c r="BH79" s="60"/>
      <c r="BI79" s="71"/>
      <c r="BJ79" s="71"/>
      <c r="BK79" s="71"/>
      <c r="BL79" s="71"/>
      <c r="BM79" s="200"/>
      <c r="BN79" s="72"/>
      <c r="BO79" s="276"/>
      <c r="BP79" s="67"/>
      <c r="BQ79" s="67"/>
      <c r="BR79" s="190"/>
      <c r="BS79" s="190">
        <f>X79/Q79</f>
        <v>4.7619047619047616E-2</v>
      </c>
      <c r="BT79" s="73"/>
      <c r="BU79" s="73"/>
    </row>
    <row r="80" spans="1:73" x14ac:dyDescent="0.25">
      <c r="A80" s="13"/>
      <c r="B80" s="59" t="s">
        <v>378</v>
      </c>
      <c r="C80" s="60"/>
      <c r="D80" s="61"/>
      <c r="E80" s="61"/>
      <c r="F80" s="145"/>
      <c r="G80" s="62">
        <v>0</v>
      </c>
      <c r="H80" s="60"/>
      <c r="I80" s="61"/>
      <c r="J80" s="61"/>
      <c r="K80" s="145"/>
      <c r="L80" s="62">
        <v>77</v>
      </c>
      <c r="M80" s="60"/>
      <c r="N80" s="61"/>
      <c r="O80" s="61"/>
      <c r="P80" s="145"/>
      <c r="Q80" s="62">
        <v>12</v>
      </c>
      <c r="R80" s="60"/>
      <c r="S80" s="61"/>
      <c r="T80" s="61"/>
      <c r="U80" s="61"/>
      <c r="V80" s="61"/>
      <c r="W80" s="145"/>
      <c r="X80" s="62">
        <v>0</v>
      </c>
      <c r="Y80" s="60"/>
      <c r="Z80" s="61"/>
      <c r="AA80" s="61"/>
      <c r="AB80" s="145"/>
      <c r="AC80" s="61"/>
      <c r="AD80" s="152"/>
      <c r="AE80" s="64">
        <v>41.66</v>
      </c>
      <c r="AF80" s="270"/>
      <c r="AG80" s="65"/>
      <c r="AH80" s="65"/>
      <c r="AI80" s="65"/>
      <c r="AJ80" s="65"/>
      <c r="AK80" s="196"/>
      <c r="AL80" s="66">
        <v>13263</v>
      </c>
      <c r="AM80" s="270"/>
      <c r="AN80" s="65"/>
      <c r="AO80" s="65"/>
      <c r="AP80" s="65"/>
      <c r="AQ80" s="65"/>
      <c r="AR80" s="196"/>
      <c r="AS80" s="66">
        <v>1924</v>
      </c>
      <c r="AT80" s="276"/>
      <c r="AU80" s="67"/>
      <c r="AV80" s="67"/>
      <c r="AW80" s="67"/>
      <c r="AX80" s="67"/>
      <c r="AY80" s="190"/>
      <c r="AZ80" s="68">
        <f t="shared" si="48"/>
        <v>0.14506521903038527</v>
      </c>
      <c r="BA80" s="276"/>
      <c r="BB80" s="69"/>
      <c r="BC80" s="69"/>
      <c r="BD80" s="69"/>
      <c r="BE80" s="69"/>
      <c r="BF80" s="199"/>
      <c r="BG80" s="70"/>
      <c r="BH80" s="60"/>
      <c r="BI80" s="71"/>
      <c r="BJ80" s="71"/>
      <c r="BK80" s="71"/>
      <c r="BL80" s="71"/>
      <c r="BM80" s="200"/>
      <c r="BN80" s="72"/>
      <c r="BO80" s="276"/>
      <c r="BP80" s="67"/>
      <c r="BQ80" s="67"/>
      <c r="BR80" s="190"/>
      <c r="BS80" s="190">
        <f>X80/Q80</f>
        <v>0</v>
      </c>
      <c r="BT80" s="73"/>
      <c r="BU80" s="73"/>
    </row>
    <row r="81" spans="1:73" s="14" customFormat="1" x14ac:dyDescent="0.25">
      <c r="A81" s="13">
        <v>37</v>
      </c>
      <c r="B81" s="59" t="s">
        <v>20</v>
      </c>
      <c r="C81" s="60">
        <v>0</v>
      </c>
      <c r="D81" s="61">
        <v>0</v>
      </c>
      <c r="E81" s="61">
        <v>0</v>
      </c>
      <c r="F81" s="145"/>
      <c r="G81" s="62"/>
      <c r="H81" s="60">
        <v>26</v>
      </c>
      <c r="I81" s="61">
        <v>365</v>
      </c>
      <c r="J81" s="61">
        <v>365</v>
      </c>
      <c r="K81" s="145"/>
      <c r="L81" s="62"/>
      <c r="M81" s="60">
        <v>3</v>
      </c>
      <c r="N81" s="61">
        <v>49</v>
      </c>
      <c r="O81" s="61">
        <v>118</v>
      </c>
      <c r="P81" s="145"/>
      <c r="Q81" s="62"/>
      <c r="R81" s="60">
        <v>0</v>
      </c>
      <c r="S81" s="61">
        <v>0</v>
      </c>
      <c r="T81" s="61">
        <v>3</v>
      </c>
      <c r="U81" s="61">
        <v>0</v>
      </c>
      <c r="V81" s="61">
        <v>0</v>
      </c>
      <c r="W81" s="145"/>
      <c r="X81" s="62"/>
      <c r="Y81" s="60">
        <v>38.090000000000003</v>
      </c>
      <c r="Z81" s="61">
        <v>38.090000000000003</v>
      </c>
      <c r="AA81" s="61">
        <v>38.090000000000003</v>
      </c>
      <c r="AB81" s="145">
        <v>38.090000000000003</v>
      </c>
      <c r="AC81" s="61">
        <v>38.090000000000003</v>
      </c>
      <c r="AD81" s="152"/>
      <c r="AE81" s="64"/>
      <c r="AF81" s="270"/>
      <c r="AG81" s="65"/>
      <c r="AH81" s="65">
        <v>7907</v>
      </c>
      <c r="AI81" s="65">
        <v>8799</v>
      </c>
      <c r="AJ81" s="65">
        <v>130580</v>
      </c>
      <c r="AK81" s="196"/>
      <c r="AL81" s="66"/>
      <c r="AM81" s="270"/>
      <c r="AN81" s="65"/>
      <c r="AO81" s="65">
        <v>3334</v>
      </c>
      <c r="AP81" s="65">
        <v>5155</v>
      </c>
      <c r="AQ81" s="65">
        <v>27124</v>
      </c>
      <c r="AR81" s="196"/>
      <c r="AS81" s="66"/>
      <c r="AT81" s="276"/>
      <c r="AU81" s="67"/>
      <c r="AV81" s="67">
        <f t="shared" si="28"/>
        <v>0.42165170102440874</v>
      </c>
      <c r="AW81" s="67">
        <f t="shared" si="29"/>
        <v>0.5858620297761109</v>
      </c>
      <c r="AX81" s="67">
        <f t="shared" si="30"/>
        <v>0.20771940572828917</v>
      </c>
      <c r="AY81" s="190"/>
      <c r="AZ81" s="68"/>
      <c r="BA81" s="276" t="s">
        <v>226</v>
      </c>
      <c r="BB81" s="69"/>
      <c r="BC81" s="69"/>
      <c r="BD81" s="69"/>
      <c r="BE81" s="69"/>
      <c r="BF81" s="199"/>
      <c r="BG81" s="70"/>
      <c r="BH81" s="60" t="s">
        <v>226</v>
      </c>
      <c r="BI81" s="71"/>
      <c r="BJ81" s="71"/>
      <c r="BK81" s="71">
        <f t="shared" si="7"/>
        <v>16.421032875170216</v>
      </c>
      <c r="BL81" s="71">
        <f>(AX81-AW81)*100</f>
        <v>-37.81426240478217</v>
      </c>
      <c r="BM81" s="200"/>
      <c r="BN81" s="72"/>
      <c r="BO81" s="276">
        <f t="shared" ref="BO81:BQ84" si="54">T81/M81</f>
        <v>1</v>
      </c>
      <c r="BP81" s="67">
        <f t="shared" si="54"/>
        <v>0</v>
      </c>
      <c r="BQ81" s="67">
        <f t="shared" si="54"/>
        <v>0</v>
      </c>
      <c r="BR81" s="190"/>
      <c r="BS81" s="190"/>
      <c r="BT81" s="73"/>
      <c r="BU81" s="73"/>
    </row>
    <row r="82" spans="1:73" s="9" customFormat="1" x14ac:dyDescent="0.25">
      <c r="A82" s="12"/>
      <c r="B82" s="17" t="s">
        <v>103</v>
      </c>
      <c r="C82" s="2">
        <v>39</v>
      </c>
      <c r="D82" s="3">
        <v>39</v>
      </c>
      <c r="E82" s="3">
        <v>39</v>
      </c>
      <c r="F82" s="144"/>
      <c r="G82" s="4"/>
      <c r="H82" s="2">
        <v>1240</v>
      </c>
      <c r="I82" s="3">
        <v>1240</v>
      </c>
      <c r="J82" s="3">
        <v>1240</v>
      </c>
      <c r="K82" s="144"/>
      <c r="L82" s="4"/>
      <c r="M82" s="2">
        <v>442</v>
      </c>
      <c r="N82" s="3">
        <v>548</v>
      </c>
      <c r="O82" s="3">
        <v>583</v>
      </c>
      <c r="P82" s="144"/>
      <c r="Q82" s="4"/>
      <c r="R82" s="2">
        <v>8</v>
      </c>
      <c r="S82" s="3">
        <v>25</v>
      </c>
      <c r="T82" s="3">
        <v>36</v>
      </c>
      <c r="U82" s="3">
        <v>24</v>
      </c>
      <c r="V82" s="3">
        <v>23</v>
      </c>
      <c r="W82" s="144"/>
      <c r="X82" s="4"/>
      <c r="Y82" s="5">
        <f>AVERAGE((26.18+22.82+27.31)/3)</f>
        <v>25.436666666666667</v>
      </c>
      <c r="Z82" s="49">
        <f>AVERAGE((32.58+33.34+34.11)/3)</f>
        <v>33.343333333333334</v>
      </c>
      <c r="AA82" s="49">
        <f>AVERAGE((33.34+35.39+42.05)/3)</f>
        <v>36.926666666666669</v>
      </c>
      <c r="AB82" s="153">
        <f>AVERAGE((38.01+35.84+35.21)/3)</f>
        <v>36.353333333333332</v>
      </c>
      <c r="AC82" s="49">
        <f>AVERAGE((37.08+37.7+39.57)/3)</f>
        <v>38.116666666666667</v>
      </c>
      <c r="AD82" s="153"/>
      <c r="AE82" s="86"/>
      <c r="AF82" s="19">
        <v>373453.39</v>
      </c>
      <c r="AG82" s="20">
        <v>377727.75</v>
      </c>
      <c r="AH82" s="20">
        <v>463318.43</v>
      </c>
      <c r="AI82" s="20">
        <v>550567.81999999995</v>
      </c>
      <c r="AJ82" s="20">
        <v>510419.5</v>
      </c>
      <c r="AK82" s="210"/>
      <c r="AL82" s="21"/>
      <c r="AM82" s="19">
        <v>38575.379999999997</v>
      </c>
      <c r="AN82" s="20">
        <v>32247.25</v>
      </c>
      <c r="AO82" s="20">
        <v>39218.379999999997</v>
      </c>
      <c r="AP82" s="20">
        <v>71473.72</v>
      </c>
      <c r="AQ82" s="20">
        <v>127580.86</v>
      </c>
      <c r="AR82" s="210"/>
      <c r="AS82" s="21"/>
      <c r="AT82" s="50">
        <f t="shared" si="26"/>
        <v>0.10329369349144212</v>
      </c>
      <c r="AU82" s="51">
        <f t="shared" si="27"/>
        <v>8.5371673116417843E-2</v>
      </c>
      <c r="AV82" s="51">
        <f t="shared" si="28"/>
        <v>8.4646708312466651E-2</v>
      </c>
      <c r="AW82" s="51">
        <f t="shared" si="29"/>
        <v>0.12981819387845808</v>
      </c>
      <c r="AX82" s="51">
        <f t="shared" si="30"/>
        <v>0.24995295046525456</v>
      </c>
      <c r="AY82" s="211"/>
      <c r="AZ82" s="52"/>
      <c r="BA82" s="50" t="s">
        <v>226</v>
      </c>
      <c r="BB82" s="53">
        <f t="shared" si="9"/>
        <v>-1.7922020375024272</v>
      </c>
      <c r="BC82" s="53">
        <f t="shared" si="10"/>
        <v>-1.8646985178975464</v>
      </c>
      <c r="BD82" s="53">
        <f t="shared" si="11"/>
        <v>2.6524500387015966</v>
      </c>
      <c r="BE82" s="53">
        <f>(AX82-$AT82)*100</f>
        <v>14.665925697381244</v>
      </c>
      <c r="BF82" s="212"/>
      <c r="BG82" s="54"/>
      <c r="BH82" s="2" t="s">
        <v>226</v>
      </c>
      <c r="BI82" s="55">
        <f t="shared" si="13"/>
        <v>-1.7922020375024272</v>
      </c>
      <c r="BJ82" s="55">
        <f t="shared" si="14"/>
        <v>-7.2496480395119189E-2</v>
      </c>
      <c r="BK82" s="55">
        <f t="shared" si="7"/>
        <v>4.5171485565991434</v>
      </c>
      <c r="BL82" s="55">
        <f>(AX82-AW82)*100</f>
        <v>12.013475658679647</v>
      </c>
      <c r="BM82" s="213"/>
      <c r="BN82" s="56"/>
      <c r="BO82" s="50">
        <f t="shared" si="54"/>
        <v>8.1447963800904979E-2</v>
      </c>
      <c r="BP82" s="51">
        <f t="shared" si="54"/>
        <v>4.3795620437956206E-2</v>
      </c>
      <c r="BQ82" s="51">
        <f t="shared" si="54"/>
        <v>3.9451114922813037E-2</v>
      </c>
      <c r="BR82" s="211"/>
      <c r="BS82" s="211"/>
      <c r="BT82" s="57"/>
      <c r="BU82" s="57"/>
    </row>
    <row r="83" spans="1:73" s="14" customFormat="1" x14ac:dyDescent="0.25">
      <c r="A83" s="13">
        <v>38</v>
      </c>
      <c r="B83" s="59" t="s">
        <v>209</v>
      </c>
      <c r="C83" s="60">
        <v>0</v>
      </c>
      <c r="D83" s="61">
        <v>0</v>
      </c>
      <c r="E83" s="61">
        <v>0</v>
      </c>
      <c r="F83" s="145">
        <v>0</v>
      </c>
      <c r="G83" s="62"/>
      <c r="H83" s="60">
        <v>191</v>
      </c>
      <c r="I83" s="61">
        <v>191</v>
      </c>
      <c r="J83" s="61">
        <v>191</v>
      </c>
      <c r="K83" s="145">
        <v>191</v>
      </c>
      <c r="L83" s="62"/>
      <c r="M83" s="60">
        <v>74</v>
      </c>
      <c r="N83" s="61">
        <v>111</v>
      </c>
      <c r="O83" s="61">
        <v>117</v>
      </c>
      <c r="P83" s="145">
        <v>36</v>
      </c>
      <c r="Q83" s="62"/>
      <c r="R83" s="60">
        <v>0</v>
      </c>
      <c r="S83" s="61">
        <v>7</v>
      </c>
      <c r="T83" s="61">
        <v>0</v>
      </c>
      <c r="U83" s="61">
        <v>33</v>
      </c>
      <c r="V83" s="61">
        <v>24</v>
      </c>
      <c r="W83" s="145">
        <v>3</v>
      </c>
      <c r="X83" s="62"/>
      <c r="Y83" s="60">
        <v>21.82</v>
      </c>
      <c r="Z83" s="61">
        <v>22.84</v>
      </c>
      <c r="AA83" s="61">
        <v>28.68</v>
      </c>
      <c r="AB83" s="145">
        <v>31.82</v>
      </c>
      <c r="AC83" s="61">
        <v>30.15</v>
      </c>
      <c r="AD83" s="152">
        <v>31.26</v>
      </c>
      <c r="AE83" s="64"/>
      <c r="AF83" s="270">
        <v>11035</v>
      </c>
      <c r="AG83" s="65">
        <v>12388</v>
      </c>
      <c r="AH83" s="65">
        <v>21708</v>
      </c>
      <c r="AI83" s="65">
        <v>69731</v>
      </c>
      <c r="AJ83" s="65">
        <v>63971</v>
      </c>
      <c r="AK83" s="196">
        <v>62092</v>
      </c>
      <c r="AL83" s="66"/>
      <c r="AM83" s="270">
        <v>5536</v>
      </c>
      <c r="AN83" s="65">
        <v>1</v>
      </c>
      <c r="AO83" s="65">
        <v>1</v>
      </c>
      <c r="AP83" s="65">
        <v>3272</v>
      </c>
      <c r="AQ83" s="65">
        <v>17852</v>
      </c>
      <c r="AR83" s="196">
        <v>19254</v>
      </c>
      <c r="AS83" s="66"/>
      <c r="AT83" s="276">
        <f t="shared" si="26"/>
        <v>0.50167648391481645</v>
      </c>
      <c r="AU83" s="67">
        <f t="shared" si="27"/>
        <v>8.0723280594123341E-5</v>
      </c>
      <c r="AV83" s="67">
        <f t="shared" si="28"/>
        <v>4.6065966463976415E-5</v>
      </c>
      <c r="AW83" s="67">
        <f t="shared" si="29"/>
        <v>4.6923176205704777E-2</v>
      </c>
      <c r="AX83" s="67">
        <f t="shared" si="30"/>
        <v>0.27906395085273017</v>
      </c>
      <c r="AY83" s="190">
        <f t="shared" si="51"/>
        <v>0.31008825613605617</v>
      </c>
      <c r="AZ83" s="68"/>
      <c r="BA83" s="276" t="s">
        <v>226</v>
      </c>
      <c r="BB83" s="69">
        <f t="shared" si="9"/>
        <v>-50.159576063422229</v>
      </c>
      <c r="BC83" s="69">
        <f t="shared" si="10"/>
        <v>-50.163041794835252</v>
      </c>
      <c r="BD83" s="69">
        <f t="shared" si="11"/>
        <v>-45.475330770911164</v>
      </c>
      <c r="BE83" s="69">
        <f>(AX83-$AT83)*100</f>
        <v>-22.26125330620863</v>
      </c>
      <c r="BF83" s="199">
        <f>(AY83-$AT83)*100</f>
        <v>-19.158822777876029</v>
      </c>
      <c r="BG83" s="70"/>
      <c r="BH83" s="60" t="s">
        <v>226</v>
      </c>
      <c r="BI83" s="71">
        <f t="shared" si="13"/>
        <v>-50.159576063422229</v>
      </c>
      <c r="BJ83" s="71">
        <f t="shared" si="14"/>
        <v>-3.4657314130146929E-3</v>
      </c>
      <c r="BK83" s="71">
        <f t="shared" si="7"/>
        <v>4.6877110239240798</v>
      </c>
      <c r="BL83" s="71">
        <f>(AX83-AW83)*100</f>
        <v>23.214077464702541</v>
      </c>
      <c r="BM83" s="200">
        <f>(AY83-AX83)*100</f>
        <v>3.1024305283326004</v>
      </c>
      <c r="BN83" s="72"/>
      <c r="BO83" s="276">
        <f t="shared" si="54"/>
        <v>0</v>
      </c>
      <c r="BP83" s="67">
        <f t="shared" si="54"/>
        <v>0.29729729729729731</v>
      </c>
      <c r="BQ83" s="67">
        <f t="shared" si="54"/>
        <v>0.20512820512820512</v>
      </c>
      <c r="BR83" s="190">
        <f>W83/P83</f>
        <v>8.3333333333333329E-2</v>
      </c>
      <c r="BS83" s="190"/>
      <c r="BT83" s="73"/>
      <c r="BU83" s="73"/>
    </row>
    <row r="84" spans="1:73" s="14" customFormat="1" x14ac:dyDescent="0.25">
      <c r="A84" s="13"/>
      <c r="B84" s="59" t="s">
        <v>161</v>
      </c>
      <c r="C84" s="60">
        <v>2</v>
      </c>
      <c r="D84" s="61">
        <v>2</v>
      </c>
      <c r="E84" s="61">
        <v>2</v>
      </c>
      <c r="F84" s="145">
        <v>0</v>
      </c>
      <c r="G84" s="62"/>
      <c r="H84" s="60">
        <v>125</v>
      </c>
      <c r="I84" s="61">
        <v>122</v>
      </c>
      <c r="J84" s="61">
        <v>116</v>
      </c>
      <c r="K84" s="145">
        <v>54</v>
      </c>
      <c r="L84" s="62"/>
      <c r="M84" s="60">
        <v>32</v>
      </c>
      <c r="N84" s="61">
        <v>59</v>
      </c>
      <c r="O84" s="61">
        <v>71</v>
      </c>
      <c r="P84" s="145">
        <v>25</v>
      </c>
      <c r="Q84" s="62"/>
      <c r="R84" s="60">
        <v>5</v>
      </c>
      <c r="S84" s="61">
        <v>10</v>
      </c>
      <c r="T84" s="61">
        <v>3</v>
      </c>
      <c r="U84" s="61">
        <v>3</v>
      </c>
      <c r="V84" s="61">
        <v>28</v>
      </c>
      <c r="W84" s="145">
        <v>0</v>
      </c>
      <c r="X84" s="62"/>
      <c r="Y84" s="60" t="s">
        <v>133</v>
      </c>
      <c r="Z84" s="61" t="s">
        <v>133</v>
      </c>
      <c r="AA84" s="61" t="s">
        <v>160</v>
      </c>
      <c r="AB84" s="145" t="s">
        <v>160</v>
      </c>
      <c r="AC84" s="61" t="s">
        <v>160</v>
      </c>
      <c r="AD84" s="145" t="s">
        <v>160</v>
      </c>
      <c r="AE84" s="62"/>
      <c r="AF84" s="270">
        <v>10765</v>
      </c>
      <c r="AG84" s="65">
        <v>10765</v>
      </c>
      <c r="AH84" s="65">
        <v>12472</v>
      </c>
      <c r="AI84" s="65">
        <v>13128</v>
      </c>
      <c r="AJ84" s="65">
        <v>13128</v>
      </c>
      <c r="AK84" s="196">
        <v>12400</v>
      </c>
      <c r="AL84" s="66"/>
      <c r="AM84" s="270">
        <v>1519</v>
      </c>
      <c r="AN84" s="65">
        <v>1911</v>
      </c>
      <c r="AO84" s="65">
        <v>1806</v>
      </c>
      <c r="AP84" s="65">
        <v>3212</v>
      </c>
      <c r="AQ84" s="65">
        <v>4851</v>
      </c>
      <c r="AR84" s="196">
        <v>5930</v>
      </c>
      <c r="AS84" s="66"/>
      <c r="AT84" s="276">
        <f t="shared" si="26"/>
        <v>0.14110543427775196</v>
      </c>
      <c r="AU84" s="67">
        <f t="shared" si="27"/>
        <v>0.177519739897817</v>
      </c>
      <c r="AV84" s="67">
        <f t="shared" si="28"/>
        <v>0.14480436177036562</v>
      </c>
      <c r="AW84" s="67">
        <f t="shared" si="29"/>
        <v>0.24466788543570994</v>
      </c>
      <c r="AX84" s="67">
        <f t="shared" si="30"/>
        <v>0.36951553930530162</v>
      </c>
      <c r="AY84" s="190">
        <f t="shared" si="51"/>
        <v>0.47822580645161289</v>
      </c>
      <c r="AZ84" s="68"/>
      <c r="BA84" s="276" t="s">
        <v>226</v>
      </c>
      <c r="BB84" s="69">
        <f t="shared" si="9"/>
        <v>3.6414305620065033</v>
      </c>
      <c r="BC84" s="69">
        <f t="shared" si="10"/>
        <v>0.36989274926136628</v>
      </c>
      <c r="BD84" s="69">
        <f t="shared" si="11"/>
        <v>10.356245115795797</v>
      </c>
      <c r="BE84" s="69">
        <f>(AX84-$AT84)*100</f>
        <v>22.841010502754965</v>
      </c>
      <c r="BF84" s="199">
        <f>(AY84-$AT84)*100</f>
        <v>33.71203721738609</v>
      </c>
      <c r="BG84" s="70"/>
      <c r="BH84" s="60" t="s">
        <v>226</v>
      </c>
      <c r="BI84" s="71">
        <f t="shared" si="13"/>
        <v>3.6414305620065033</v>
      </c>
      <c r="BJ84" s="71">
        <f t="shared" si="14"/>
        <v>-3.2715378127451373</v>
      </c>
      <c r="BK84" s="71">
        <f t="shared" si="7"/>
        <v>9.9863523665344314</v>
      </c>
      <c r="BL84" s="71">
        <f>(AX84-AW84)*100</f>
        <v>12.484765386959168</v>
      </c>
      <c r="BM84" s="200">
        <f>(AY84-AX84)*100</f>
        <v>10.871026714631126</v>
      </c>
      <c r="BN84" s="72"/>
      <c r="BO84" s="276">
        <f t="shared" si="54"/>
        <v>9.375E-2</v>
      </c>
      <c r="BP84" s="67">
        <f t="shared" si="54"/>
        <v>5.0847457627118647E-2</v>
      </c>
      <c r="BQ84" s="67">
        <f t="shared" si="54"/>
        <v>0.39436619718309857</v>
      </c>
      <c r="BR84" s="190">
        <f>W84/P84</f>
        <v>0</v>
      </c>
      <c r="BS84" s="190"/>
      <c r="BT84" s="73"/>
      <c r="BU84" s="73"/>
    </row>
    <row r="85" spans="1:73" s="14" customFormat="1" x14ac:dyDescent="0.25">
      <c r="A85" s="13">
        <v>39</v>
      </c>
      <c r="B85" s="59" t="s">
        <v>21</v>
      </c>
      <c r="C85" s="60"/>
      <c r="D85" s="61"/>
      <c r="E85" s="61"/>
      <c r="F85" s="145">
        <v>6</v>
      </c>
      <c r="G85" s="62">
        <v>6</v>
      </c>
      <c r="H85" s="60"/>
      <c r="I85" s="61"/>
      <c r="J85" s="61"/>
      <c r="K85" s="145">
        <v>106</v>
      </c>
      <c r="L85" s="62">
        <v>106</v>
      </c>
      <c r="M85" s="60"/>
      <c r="N85" s="61"/>
      <c r="O85" s="61"/>
      <c r="P85" s="145">
        <v>52</v>
      </c>
      <c r="Q85" s="62">
        <v>41</v>
      </c>
      <c r="R85" s="60"/>
      <c r="S85" s="61"/>
      <c r="T85" s="61"/>
      <c r="U85" s="61"/>
      <c r="V85" s="61"/>
      <c r="W85" s="145">
        <v>7</v>
      </c>
      <c r="X85" s="62">
        <v>4</v>
      </c>
      <c r="Y85" s="60"/>
      <c r="Z85" s="61"/>
      <c r="AA85" s="61"/>
      <c r="AB85" s="145"/>
      <c r="AC85" s="61"/>
      <c r="AD85" s="152"/>
      <c r="AE85" s="64">
        <v>34.64</v>
      </c>
      <c r="AF85" s="270"/>
      <c r="AG85" s="65"/>
      <c r="AH85" s="65"/>
      <c r="AI85" s="65"/>
      <c r="AJ85" s="65"/>
      <c r="AK85" s="196">
        <v>53020</v>
      </c>
      <c r="AL85" s="66">
        <v>48136</v>
      </c>
      <c r="AM85" s="270"/>
      <c r="AN85" s="65"/>
      <c r="AO85" s="65"/>
      <c r="AP85" s="65"/>
      <c r="AQ85" s="65"/>
      <c r="AR85" s="196">
        <v>18254</v>
      </c>
      <c r="AS85" s="66">
        <v>17179</v>
      </c>
      <c r="AT85" s="276"/>
      <c r="AU85" s="67"/>
      <c r="AV85" s="67"/>
      <c r="AW85" s="67"/>
      <c r="AX85" s="67"/>
      <c r="AY85" s="190">
        <f t="shared" si="51"/>
        <v>0.34428517540550735</v>
      </c>
      <c r="AZ85" s="68">
        <f t="shared" si="48"/>
        <v>0.35688466012963271</v>
      </c>
      <c r="BA85" s="276" t="s">
        <v>226</v>
      </c>
      <c r="BB85" s="69"/>
      <c r="BC85" s="69"/>
      <c r="BD85" s="69"/>
      <c r="BE85" s="69"/>
      <c r="BF85" s="199"/>
      <c r="BG85" s="70"/>
      <c r="BH85" s="60" t="s">
        <v>226</v>
      </c>
      <c r="BI85" s="71"/>
      <c r="BJ85" s="71"/>
      <c r="BK85" s="71"/>
      <c r="BL85" s="71"/>
      <c r="BM85" s="200"/>
      <c r="BN85" s="72">
        <f t="shared" si="52"/>
        <v>1.2599484724125365</v>
      </c>
      <c r="BO85" s="276"/>
      <c r="BP85" s="67"/>
      <c r="BQ85" s="67"/>
      <c r="BR85" s="190">
        <f>W85/P85</f>
        <v>0.13461538461538461</v>
      </c>
      <c r="BS85" s="190">
        <f t="shared" ref="BS85:BS90" si="55">X85/Q85</f>
        <v>9.7560975609756101E-2</v>
      </c>
      <c r="BT85" s="73"/>
      <c r="BU85" s="73">
        <f>(Q85-P85)/P85</f>
        <v>-0.21153846153846154</v>
      </c>
    </row>
    <row r="86" spans="1:73" s="14" customFormat="1" x14ac:dyDescent="0.25">
      <c r="A86" s="13">
        <v>40</v>
      </c>
      <c r="B86" s="59" t="s">
        <v>22</v>
      </c>
      <c r="C86" s="60"/>
      <c r="D86" s="61"/>
      <c r="E86" s="61"/>
      <c r="F86" s="145">
        <v>12</v>
      </c>
      <c r="G86" s="62">
        <v>0</v>
      </c>
      <c r="H86" s="60"/>
      <c r="I86" s="61"/>
      <c r="J86" s="61"/>
      <c r="K86" s="145">
        <v>163</v>
      </c>
      <c r="L86" s="62">
        <v>169</v>
      </c>
      <c r="M86" s="60"/>
      <c r="N86" s="61"/>
      <c r="O86" s="61"/>
      <c r="P86" s="145">
        <v>61</v>
      </c>
      <c r="Q86" s="62">
        <v>60</v>
      </c>
      <c r="R86" s="60"/>
      <c r="S86" s="61"/>
      <c r="T86" s="61"/>
      <c r="U86" s="61"/>
      <c r="V86" s="61"/>
      <c r="W86" s="145">
        <v>1</v>
      </c>
      <c r="X86" s="62">
        <v>0</v>
      </c>
      <c r="Y86" s="60"/>
      <c r="Z86" s="61"/>
      <c r="AA86" s="61"/>
      <c r="AB86" s="145"/>
      <c r="AC86" s="61"/>
      <c r="AD86" s="152"/>
      <c r="AE86" s="64" t="s">
        <v>98</v>
      </c>
      <c r="AF86" s="270"/>
      <c r="AG86" s="65"/>
      <c r="AH86" s="65"/>
      <c r="AI86" s="65"/>
      <c r="AJ86" s="65"/>
      <c r="AK86" s="196">
        <v>46371.24</v>
      </c>
      <c r="AL86" s="66">
        <v>58923</v>
      </c>
      <c r="AM86" s="270"/>
      <c r="AN86" s="65"/>
      <c r="AO86" s="65"/>
      <c r="AP86" s="65"/>
      <c r="AQ86" s="65"/>
      <c r="AR86" s="196">
        <v>20224.490000000002</v>
      </c>
      <c r="AS86" s="66">
        <v>24935</v>
      </c>
      <c r="AT86" s="276"/>
      <c r="AU86" s="67"/>
      <c r="AV86" s="67"/>
      <c r="AW86" s="67"/>
      <c r="AX86" s="67"/>
      <c r="AY86" s="190">
        <f t="shared" si="51"/>
        <v>0.43614296275018744</v>
      </c>
      <c r="AZ86" s="68">
        <f t="shared" si="48"/>
        <v>0.42317940362846429</v>
      </c>
      <c r="BA86" s="276" t="s">
        <v>226</v>
      </c>
      <c r="BB86" s="69"/>
      <c r="BC86" s="69"/>
      <c r="BD86" s="69"/>
      <c r="BE86" s="69"/>
      <c r="BF86" s="199"/>
      <c r="BG86" s="70"/>
      <c r="BH86" s="60" t="s">
        <v>226</v>
      </c>
      <c r="BI86" s="71"/>
      <c r="BJ86" s="71"/>
      <c r="BK86" s="71"/>
      <c r="BL86" s="71"/>
      <c r="BM86" s="200"/>
      <c r="BN86" s="72">
        <f t="shared" si="52"/>
        <v>-1.2963559121723145</v>
      </c>
      <c r="BO86" s="276"/>
      <c r="BP86" s="67"/>
      <c r="BQ86" s="67"/>
      <c r="BR86" s="190">
        <f>W86/P86</f>
        <v>1.6393442622950821E-2</v>
      </c>
      <c r="BS86" s="190">
        <f t="shared" si="55"/>
        <v>0</v>
      </c>
      <c r="BT86" s="73"/>
      <c r="BU86" s="73">
        <f>(Q86-P86)/P86</f>
        <v>-1.6393442622950821E-2</v>
      </c>
    </row>
    <row r="87" spans="1:73" x14ac:dyDescent="0.25">
      <c r="A87" s="13">
        <v>41</v>
      </c>
      <c r="B87" s="59" t="s">
        <v>381</v>
      </c>
      <c r="C87" s="60"/>
      <c r="D87" s="61"/>
      <c r="E87" s="61"/>
      <c r="F87" s="145"/>
      <c r="G87" s="62">
        <v>4</v>
      </c>
      <c r="H87" s="60"/>
      <c r="I87" s="61"/>
      <c r="J87" s="61"/>
      <c r="K87" s="145"/>
      <c r="L87" s="62">
        <v>66</v>
      </c>
      <c r="M87" s="60"/>
      <c r="N87" s="61"/>
      <c r="O87" s="61"/>
      <c r="P87" s="145"/>
      <c r="Q87" s="62">
        <v>36</v>
      </c>
      <c r="R87" s="60"/>
      <c r="S87" s="61"/>
      <c r="T87" s="61"/>
      <c r="U87" s="61"/>
      <c r="V87" s="61"/>
      <c r="W87" s="145"/>
      <c r="X87" s="62">
        <v>22</v>
      </c>
      <c r="Y87" s="60"/>
      <c r="Z87" s="61"/>
      <c r="AA87" s="61"/>
      <c r="AB87" s="145"/>
      <c r="AC87" s="61"/>
      <c r="AD87" s="152"/>
      <c r="AE87" s="64" t="s">
        <v>390</v>
      </c>
      <c r="AF87" s="270"/>
      <c r="AG87" s="65"/>
      <c r="AH87" s="65"/>
      <c r="AI87" s="65"/>
      <c r="AJ87" s="65"/>
      <c r="AK87" s="196"/>
      <c r="AL87" s="66">
        <v>25002</v>
      </c>
      <c r="AM87" s="270"/>
      <c r="AN87" s="65"/>
      <c r="AO87" s="65"/>
      <c r="AP87" s="65"/>
      <c r="AQ87" s="65"/>
      <c r="AR87" s="196"/>
      <c r="AS87" s="66">
        <v>3070.4</v>
      </c>
      <c r="AT87" s="276"/>
      <c r="AU87" s="67"/>
      <c r="AV87" s="67"/>
      <c r="AW87" s="67"/>
      <c r="AX87" s="67"/>
      <c r="AY87" s="190"/>
      <c r="AZ87" s="68">
        <f t="shared" si="48"/>
        <v>0.12280617550595953</v>
      </c>
      <c r="BA87" s="276" t="s">
        <v>226</v>
      </c>
      <c r="BB87" s="69"/>
      <c r="BC87" s="69"/>
      <c r="BD87" s="69"/>
      <c r="BE87" s="69"/>
      <c r="BF87" s="199"/>
      <c r="BG87" s="70"/>
      <c r="BH87" s="60" t="s">
        <v>226</v>
      </c>
      <c r="BI87" s="71"/>
      <c r="BJ87" s="71"/>
      <c r="BK87" s="71"/>
      <c r="BL87" s="71"/>
      <c r="BM87" s="200"/>
      <c r="BN87" s="72"/>
      <c r="BO87" s="276"/>
      <c r="BP87" s="67"/>
      <c r="BQ87" s="67"/>
      <c r="BR87" s="190"/>
      <c r="BS87" s="190">
        <f t="shared" si="55"/>
        <v>0.61111111111111116</v>
      </c>
      <c r="BT87" s="73"/>
      <c r="BU87" s="73"/>
    </row>
    <row r="88" spans="1:73" x14ac:dyDescent="0.25">
      <c r="A88" s="13"/>
      <c r="B88" s="59" t="s">
        <v>386</v>
      </c>
      <c r="C88" s="60"/>
      <c r="D88" s="61"/>
      <c r="E88" s="61"/>
      <c r="F88" s="145"/>
      <c r="G88" s="62">
        <v>0</v>
      </c>
      <c r="H88" s="60"/>
      <c r="I88" s="61"/>
      <c r="J88" s="61"/>
      <c r="K88" s="145"/>
      <c r="L88" s="62">
        <v>102</v>
      </c>
      <c r="M88" s="60"/>
      <c r="N88" s="61"/>
      <c r="O88" s="61"/>
      <c r="P88" s="145"/>
      <c r="Q88" s="62">
        <v>33</v>
      </c>
      <c r="R88" s="60"/>
      <c r="S88" s="61"/>
      <c r="T88" s="61"/>
      <c r="U88" s="61"/>
      <c r="V88" s="61"/>
      <c r="W88" s="145"/>
      <c r="X88" s="62">
        <v>8</v>
      </c>
      <c r="Y88" s="60"/>
      <c r="Z88" s="61"/>
      <c r="AA88" s="61"/>
      <c r="AB88" s="145"/>
      <c r="AC88" s="61"/>
      <c r="AD88" s="152"/>
      <c r="AE88" s="64" t="s">
        <v>385</v>
      </c>
      <c r="AF88" s="270"/>
      <c r="AG88" s="65"/>
      <c r="AH88" s="65"/>
      <c r="AI88" s="65"/>
      <c r="AJ88" s="65"/>
      <c r="AK88" s="196"/>
      <c r="AL88" s="66">
        <v>34284</v>
      </c>
      <c r="AM88" s="270"/>
      <c r="AN88" s="65"/>
      <c r="AO88" s="65"/>
      <c r="AP88" s="65"/>
      <c r="AQ88" s="65"/>
      <c r="AR88" s="196"/>
      <c r="AS88" s="66">
        <v>4149</v>
      </c>
      <c r="AT88" s="276"/>
      <c r="AU88" s="67"/>
      <c r="AV88" s="67"/>
      <c r="AW88" s="67"/>
      <c r="AX88" s="67"/>
      <c r="AY88" s="190"/>
      <c r="AZ88" s="68">
        <f t="shared" si="48"/>
        <v>0.12101855092754638</v>
      </c>
      <c r="BA88" s="276"/>
      <c r="BB88" s="69"/>
      <c r="BC88" s="69"/>
      <c r="BD88" s="69"/>
      <c r="BE88" s="69"/>
      <c r="BF88" s="199"/>
      <c r="BG88" s="70"/>
      <c r="BH88" s="60"/>
      <c r="BI88" s="71"/>
      <c r="BJ88" s="71"/>
      <c r="BK88" s="71"/>
      <c r="BL88" s="71"/>
      <c r="BM88" s="200"/>
      <c r="BN88" s="72"/>
      <c r="BO88" s="276"/>
      <c r="BP88" s="67"/>
      <c r="BQ88" s="67"/>
      <c r="BR88" s="190"/>
      <c r="BS88" s="190">
        <f t="shared" si="55"/>
        <v>0.24242424242424243</v>
      </c>
      <c r="BT88" s="73"/>
      <c r="BU88" s="73"/>
    </row>
    <row r="89" spans="1:73" s="11" customFormat="1" x14ac:dyDescent="0.25">
      <c r="A89" s="10"/>
      <c r="B89" s="33" t="s">
        <v>382</v>
      </c>
      <c r="C89" s="34"/>
      <c r="D89" s="35"/>
      <c r="E89" s="35"/>
      <c r="F89" s="93"/>
      <c r="G89" s="36">
        <v>0</v>
      </c>
      <c r="H89" s="34"/>
      <c r="I89" s="35"/>
      <c r="J89" s="35"/>
      <c r="K89" s="93"/>
      <c r="L89" s="36">
        <v>39</v>
      </c>
      <c r="M89" s="34"/>
      <c r="N89" s="35"/>
      <c r="O89" s="35"/>
      <c r="P89" s="93"/>
      <c r="Q89" s="36">
        <v>18</v>
      </c>
      <c r="R89" s="34"/>
      <c r="S89" s="35"/>
      <c r="T89" s="35"/>
      <c r="U89" s="35"/>
      <c r="V89" s="35"/>
      <c r="W89" s="93"/>
      <c r="X89" s="36">
        <v>0</v>
      </c>
      <c r="Y89" s="34"/>
      <c r="Z89" s="35"/>
      <c r="AA89" s="35"/>
      <c r="AB89" s="93"/>
      <c r="AC89" s="35"/>
      <c r="AD89" s="154"/>
      <c r="AE89" s="90" t="s">
        <v>98</v>
      </c>
      <c r="AF89" s="38"/>
      <c r="AG89" s="39"/>
      <c r="AH89" s="39"/>
      <c r="AI89" s="39"/>
      <c r="AJ89" s="39"/>
      <c r="AK89" s="182"/>
      <c r="AL89" s="40">
        <v>11420.81</v>
      </c>
      <c r="AM89" s="38"/>
      <c r="AN89" s="39"/>
      <c r="AO89" s="39"/>
      <c r="AP89" s="39"/>
      <c r="AQ89" s="39"/>
      <c r="AR89" s="182"/>
      <c r="AS89" s="40">
        <v>2428.34</v>
      </c>
      <c r="AT89" s="41"/>
      <c r="AU89" s="42"/>
      <c r="AV89" s="42"/>
      <c r="AW89" s="42"/>
      <c r="AX89" s="42"/>
      <c r="AY89" s="183"/>
      <c r="AZ89" s="43">
        <f t="shared" si="48"/>
        <v>0.21262414837476504</v>
      </c>
      <c r="BA89" s="41"/>
      <c r="BB89" s="44"/>
      <c r="BC89" s="44"/>
      <c r="BD89" s="44"/>
      <c r="BE89" s="44"/>
      <c r="BF89" s="184"/>
      <c r="BG89" s="45"/>
      <c r="BH89" s="34"/>
      <c r="BI89" s="46"/>
      <c r="BJ89" s="46"/>
      <c r="BK89" s="46"/>
      <c r="BL89" s="46"/>
      <c r="BM89" s="185"/>
      <c r="BN89" s="47"/>
      <c r="BO89" s="41"/>
      <c r="BP89" s="42"/>
      <c r="BQ89" s="42"/>
      <c r="BR89" s="183"/>
      <c r="BS89" s="183">
        <f t="shared" si="55"/>
        <v>0</v>
      </c>
      <c r="BT89" s="48"/>
      <c r="BU89" s="48"/>
    </row>
    <row r="90" spans="1:73" s="9" customFormat="1" x14ac:dyDescent="0.25">
      <c r="A90" s="12">
        <v>42</v>
      </c>
      <c r="B90" s="17" t="s">
        <v>23</v>
      </c>
      <c r="C90" s="2">
        <v>1</v>
      </c>
      <c r="D90" s="3">
        <v>11</v>
      </c>
      <c r="E90" s="3">
        <v>11</v>
      </c>
      <c r="F90" s="144">
        <v>0</v>
      </c>
      <c r="G90" s="4">
        <v>0</v>
      </c>
      <c r="H90" s="2">
        <v>947</v>
      </c>
      <c r="I90" s="3">
        <v>941</v>
      </c>
      <c r="J90" s="3">
        <v>941</v>
      </c>
      <c r="K90" s="144">
        <v>993</v>
      </c>
      <c r="L90" s="4">
        <v>969</v>
      </c>
      <c r="M90" s="2">
        <v>161</v>
      </c>
      <c r="N90" s="3">
        <v>199</v>
      </c>
      <c r="O90" s="3">
        <v>160</v>
      </c>
      <c r="P90" s="144">
        <v>150</v>
      </c>
      <c r="Q90" s="4">
        <v>168</v>
      </c>
      <c r="R90" s="2">
        <v>4</v>
      </c>
      <c r="S90" s="3">
        <v>0</v>
      </c>
      <c r="T90" s="3">
        <v>10</v>
      </c>
      <c r="U90" s="3">
        <v>27</v>
      </c>
      <c r="V90" s="3">
        <v>25</v>
      </c>
      <c r="W90" s="144">
        <v>47</v>
      </c>
      <c r="X90" s="4">
        <v>32</v>
      </c>
      <c r="Y90" s="2">
        <v>22.83</v>
      </c>
      <c r="Z90" s="3">
        <v>23.594999999999999</v>
      </c>
      <c r="AA90" s="3">
        <v>34.375</v>
      </c>
      <c r="AB90" s="144">
        <v>44.32</v>
      </c>
      <c r="AC90" s="3">
        <v>33.564999999999998</v>
      </c>
      <c r="AD90" s="153">
        <v>40.534999999999997</v>
      </c>
      <c r="AE90" s="86">
        <v>42.12</v>
      </c>
      <c r="AF90" s="19">
        <v>51084</v>
      </c>
      <c r="AG90" s="20">
        <v>54623</v>
      </c>
      <c r="AH90" s="20">
        <v>179646</v>
      </c>
      <c r="AI90" s="20">
        <v>269002</v>
      </c>
      <c r="AJ90" s="20">
        <v>207175</v>
      </c>
      <c r="AK90" s="210">
        <v>273633</v>
      </c>
      <c r="AL90" s="21">
        <v>333588</v>
      </c>
      <c r="AM90" s="19">
        <v>3542</v>
      </c>
      <c r="AN90" s="20">
        <v>2744</v>
      </c>
      <c r="AO90" s="20">
        <v>6780</v>
      </c>
      <c r="AP90" s="20">
        <v>15424</v>
      </c>
      <c r="AQ90" s="20">
        <v>14365</v>
      </c>
      <c r="AR90" s="210">
        <v>23348.27</v>
      </c>
      <c r="AS90" s="21">
        <v>23814</v>
      </c>
      <c r="AT90" s="50">
        <v>6.9336778639104216E-2</v>
      </c>
      <c r="AU90" s="51">
        <v>5.0235248887831131E-2</v>
      </c>
      <c r="AV90" s="51">
        <v>3.7740890417821714E-2</v>
      </c>
      <c r="AW90" s="51">
        <v>5.7337863659006255E-2</v>
      </c>
      <c r="AX90" s="51">
        <v>6.9337516592252929E-2</v>
      </c>
      <c r="AY90" s="211">
        <v>8.5326952524001132E-2</v>
      </c>
      <c r="AZ90" s="52">
        <f t="shared" si="48"/>
        <v>7.1387459980574844E-2</v>
      </c>
      <c r="BA90" s="50" t="s">
        <v>226</v>
      </c>
      <c r="BB90" s="53">
        <v>-1.9101529751273085</v>
      </c>
      <c r="BC90" s="53">
        <v>-3.1595888221282502</v>
      </c>
      <c r="BD90" s="53">
        <v>-1.1998914980097961</v>
      </c>
      <c r="BE90" s="53">
        <v>7.3795314871338835E-5</v>
      </c>
      <c r="BF90" s="212">
        <v>1.5990173884896917</v>
      </c>
      <c r="BG90" s="54">
        <f t="shared" si="49"/>
        <v>0.20506813414706282</v>
      </c>
      <c r="BH90" s="2" t="s">
        <v>226</v>
      </c>
      <c r="BI90" s="55">
        <v>-1.9101529751273085</v>
      </c>
      <c r="BJ90" s="55">
        <v>-1.2494358470009417</v>
      </c>
      <c r="BK90" s="55">
        <v>1.9596973241184541</v>
      </c>
      <c r="BL90" s="55">
        <v>1.1999652933246674</v>
      </c>
      <c r="BM90" s="213">
        <v>1.5989435931748202</v>
      </c>
      <c r="BN90" s="56">
        <f t="shared" si="52"/>
        <v>-1.3939492543426288</v>
      </c>
      <c r="BO90" s="50">
        <v>6.2111801242236024E-2</v>
      </c>
      <c r="BP90" s="51">
        <v>0.135678391959799</v>
      </c>
      <c r="BQ90" s="51">
        <v>0.15625</v>
      </c>
      <c r="BR90" s="211">
        <v>0.31333333333333335</v>
      </c>
      <c r="BS90" s="211">
        <f t="shared" si="55"/>
        <v>0.19047619047619047</v>
      </c>
      <c r="BT90" s="57">
        <f t="shared" si="53"/>
        <v>3.9102010608116466E-2</v>
      </c>
      <c r="BU90" s="57">
        <f>(Q90-P90)/P90</f>
        <v>0.12</v>
      </c>
    </row>
    <row r="91" spans="1:73" s="14" customFormat="1" x14ac:dyDescent="0.25">
      <c r="A91" s="13">
        <v>43</v>
      </c>
      <c r="B91" s="59" t="s">
        <v>292</v>
      </c>
      <c r="C91" s="60">
        <v>0</v>
      </c>
      <c r="D91" s="61">
        <v>3</v>
      </c>
      <c r="E91" s="61">
        <v>3</v>
      </c>
      <c r="F91" s="145"/>
      <c r="G91" s="62"/>
      <c r="H91" s="60">
        <v>298</v>
      </c>
      <c r="I91" s="61">
        <v>127</v>
      </c>
      <c r="J91" s="61">
        <v>127</v>
      </c>
      <c r="K91" s="145"/>
      <c r="L91" s="62"/>
      <c r="M91" s="60">
        <v>18</v>
      </c>
      <c r="N91" s="61">
        <v>29</v>
      </c>
      <c r="O91" s="61">
        <v>0</v>
      </c>
      <c r="P91" s="145"/>
      <c r="Q91" s="62"/>
      <c r="R91" s="60">
        <v>0</v>
      </c>
      <c r="S91" s="61">
        <v>0</v>
      </c>
      <c r="T91" s="61">
        <v>8</v>
      </c>
      <c r="U91" s="61">
        <v>15</v>
      </c>
      <c r="V91" s="61">
        <v>7</v>
      </c>
      <c r="W91" s="145"/>
      <c r="X91" s="62"/>
      <c r="Y91" s="60">
        <v>26.71</v>
      </c>
      <c r="Z91" s="61">
        <v>32.67</v>
      </c>
      <c r="AA91" s="61">
        <v>41.31</v>
      </c>
      <c r="AB91" s="145">
        <v>37.94</v>
      </c>
      <c r="AC91" s="61">
        <v>37.94</v>
      </c>
      <c r="AD91" s="152"/>
      <c r="AE91" s="64"/>
      <c r="AF91" s="270">
        <v>37300</v>
      </c>
      <c r="AG91" s="65">
        <v>47750</v>
      </c>
      <c r="AH91" s="65">
        <v>60160</v>
      </c>
      <c r="AI91" s="65">
        <v>71800</v>
      </c>
      <c r="AJ91" s="65">
        <v>74700</v>
      </c>
      <c r="AK91" s="196"/>
      <c r="AL91" s="66"/>
      <c r="AM91" s="270">
        <v>125</v>
      </c>
      <c r="AN91" s="65">
        <v>160</v>
      </c>
      <c r="AO91" s="65">
        <v>670</v>
      </c>
      <c r="AP91" s="65">
        <v>1900</v>
      </c>
      <c r="AQ91" s="65">
        <v>19060</v>
      </c>
      <c r="AR91" s="196"/>
      <c r="AS91" s="66"/>
      <c r="AT91" s="276">
        <f t="shared" si="26"/>
        <v>3.351206434316354E-3</v>
      </c>
      <c r="AU91" s="67">
        <f t="shared" si="27"/>
        <v>3.350785340314136E-3</v>
      </c>
      <c r="AV91" s="67">
        <f t="shared" si="28"/>
        <v>1.1136968085106383E-2</v>
      </c>
      <c r="AW91" s="67">
        <f t="shared" si="29"/>
        <v>2.6462395543175487E-2</v>
      </c>
      <c r="AX91" s="67">
        <f t="shared" si="30"/>
        <v>0.25515394912985273</v>
      </c>
      <c r="AY91" s="190"/>
      <c r="AZ91" s="68"/>
      <c r="BA91" s="276" t="s">
        <v>226</v>
      </c>
      <c r="BB91" s="69">
        <f t="shared" ref="BB91:BB159" si="56">(AU91-$AT91)*100</f>
        <v>-4.2109400221791715E-5</v>
      </c>
      <c r="BC91" s="69">
        <f t="shared" ref="BC91:BC159" si="57">(AV91-$AT91)*100</f>
        <v>0.77857616507900285</v>
      </c>
      <c r="BD91" s="69">
        <f t="shared" ref="BD91:BD159" si="58">(AW91-$AT91)*100</f>
        <v>2.3111189108859134</v>
      </c>
      <c r="BE91" s="69">
        <f t="shared" ref="BE91:BE159" si="59">(AX91-$AT91)*100</f>
        <v>25.180274269553639</v>
      </c>
      <c r="BF91" s="199"/>
      <c r="BG91" s="70"/>
      <c r="BH91" s="60" t="s">
        <v>226</v>
      </c>
      <c r="BI91" s="71">
        <f t="shared" ref="BI91:BI152" si="60">(AU91-AT91)*100</f>
        <v>-4.2109400221791715E-5</v>
      </c>
      <c r="BJ91" s="71">
        <f t="shared" ref="BJ91:BJ152" si="61">(AV91-AU91)*100</f>
        <v>0.7786182744792246</v>
      </c>
      <c r="BK91" s="71">
        <f t="shared" ref="BK91:BK154" si="62">(AW91-AV91)*100</f>
        <v>1.5325427458069105</v>
      </c>
      <c r="BL91" s="71">
        <f t="shared" ref="BL91:BL154" si="63">(AX91-AW91)*100</f>
        <v>22.869155358667726</v>
      </c>
      <c r="BM91" s="200"/>
      <c r="BN91" s="72"/>
      <c r="BO91" s="276">
        <f>T91/M91</f>
        <v>0.44444444444444442</v>
      </c>
      <c r="BP91" s="67">
        <f>U91/N91</f>
        <v>0.51724137931034486</v>
      </c>
      <c r="BQ91" s="67"/>
      <c r="BR91" s="190"/>
      <c r="BS91" s="190"/>
      <c r="BT91" s="73"/>
      <c r="BU91" s="73"/>
    </row>
    <row r="92" spans="1:73" s="14" customFormat="1" x14ac:dyDescent="0.25">
      <c r="A92" s="13"/>
      <c r="B92" s="59" t="s">
        <v>370</v>
      </c>
      <c r="C92" s="60"/>
      <c r="D92" s="61"/>
      <c r="E92" s="61"/>
      <c r="F92" s="145">
        <v>0</v>
      </c>
      <c r="G92" s="62">
        <v>0</v>
      </c>
      <c r="H92" s="60"/>
      <c r="I92" s="61"/>
      <c r="J92" s="61"/>
      <c r="K92" s="145">
        <v>398</v>
      </c>
      <c r="L92" s="62">
        <v>423</v>
      </c>
      <c r="M92" s="60"/>
      <c r="N92" s="61"/>
      <c r="O92" s="61"/>
      <c r="P92" s="145">
        <v>207</v>
      </c>
      <c r="Q92" s="62">
        <v>112</v>
      </c>
      <c r="R92" s="60"/>
      <c r="S92" s="61"/>
      <c r="T92" s="61"/>
      <c r="U92" s="61"/>
      <c r="V92" s="61"/>
      <c r="W92" s="145">
        <v>0</v>
      </c>
      <c r="X92" s="62">
        <v>16</v>
      </c>
      <c r="Y92" s="60"/>
      <c r="Z92" s="61"/>
      <c r="AA92" s="61"/>
      <c r="AB92" s="145"/>
      <c r="AC92" s="61"/>
      <c r="AD92" s="152"/>
      <c r="AE92" s="64">
        <v>37.119999999999997</v>
      </c>
      <c r="AF92" s="270"/>
      <c r="AG92" s="65"/>
      <c r="AH92" s="65"/>
      <c r="AI92" s="65"/>
      <c r="AJ92" s="65"/>
      <c r="AK92" s="196">
        <v>120959</v>
      </c>
      <c r="AL92" s="66">
        <v>113834</v>
      </c>
      <c r="AM92" s="270"/>
      <c r="AN92" s="65"/>
      <c r="AO92" s="65"/>
      <c r="AP92" s="65"/>
      <c r="AQ92" s="65"/>
      <c r="AR92" s="196">
        <v>29862</v>
      </c>
      <c r="AS92" s="66">
        <v>38864</v>
      </c>
      <c r="AT92" s="276"/>
      <c r="AU92" s="67"/>
      <c r="AV92" s="67"/>
      <c r="AW92" s="67"/>
      <c r="AX92" s="67"/>
      <c r="AY92" s="190">
        <v>0.25</v>
      </c>
      <c r="AZ92" s="68">
        <f t="shared" si="48"/>
        <v>0.34140942073545688</v>
      </c>
      <c r="BA92" s="276"/>
      <c r="BB92" s="69"/>
      <c r="BC92" s="69"/>
      <c r="BD92" s="69"/>
      <c r="BE92" s="69"/>
      <c r="BF92" s="199"/>
      <c r="BG92" s="70"/>
      <c r="BH92" s="60"/>
      <c r="BI92" s="71"/>
      <c r="BJ92" s="71"/>
      <c r="BK92" s="71"/>
      <c r="BL92" s="71"/>
      <c r="BM92" s="200"/>
      <c r="BN92" s="72">
        <f t="shared" si="52"/>
        <v>9.1409420735456877</v>
      </c>
      <c r="BO92" s="276"/>
      <c r="BP92" s="67"/>
      <c r="BQ92" s="67"/>
      <c r="BR92" s="190">
        <f>W92/P92</f>
        <v>0</v>
      </c>
      <c r="BS92" s="190">
        <f>X92/Q92</f>
        <v>0.14285714285714285</v>
      </c>
      <c r="BT92" s="73"/>
      <c r="BU92" s="73">
        <f>(Q92-P92)/P92</f>
        <v>-0.45893719806763283</v>
      </c>
    </row>
    <row r="93" spans="1:73" s="14" customFormat="1" x14ac:dyDescent="0.25">
      <c r="A93" s="13">
        <v>44</v>
      </c>
      <c r="B93" s="59" t="s">
        <v>328</v>
      </c>
      <c r="C93" s="60"/>
      <c r="D93" s="61"/>
      <c r="E93" s="61"/>
      <c r="F93" s="145">
        <v>0</v>
      </c>
      <c r="G93" s="62"/>
      <c r="H93" s="60"/>
      <c r="I93" s="61"/>
      <c r="J93" s="61"/>
      <c r="K93" s="145">
        <v>338</v>
      </c>
      <c r="L93" s="62"/>
      <c r="M93" s="60"/>
      <c r="N93" s="61"/>
      <c r="O93" s="61"/>
      <c r="P93" s="145">
        <v>143</v>
      </c>
      <c r="Q93" s="62"/>
      <c r="R93" s="60"/>
      <c r="S93" s="61"/>
      <c r="T93" s="61"/>
      <c r="U93" s="61"/>
      <c r="V93" s="61"/>
      <c r="W93" s="145">
        <v>5</v>
      </c>
      <c r="X93" s="62"/>
      <c r="Y93" s="60"/>
      <c r="Z93" s="61"/>
      <c r="AA93" s="61"/>
      <c r="AB93" s="145"/>
      <c r="AC93" s="61"/>
      <c r="AD93" s="152">
        <v>38.229999999999997</v>
      </c>
      <c r="AE93" s="64"/>
      <c r="AF93" s="270"/>
      <c r="AG93" s="65"/>
      <c r="AH93" s="65"/>
      <c r="AI93" s="65"/>
      <c r="AJ93" s="65"/>
      <c r="AK93" s="196">
        <v>110027</v>
      </c>
      <c r="AL93" s="66"/>
      <c r="AM93" s="270"/>
      <c r="AN93" s="65"/>
      <c r="AO93" s="65"/>
      <c r="AP93" s="65"/>
      <c r="AQ93" s="65"/>
      <c r="AR93" s="196">
        <v>39077</v>
      </c>
      <c r="AS93" s="66"/>
      <c r="AT93" s="276"/>
      <c r="AU93" s="67"/>
      <c r="AV93" s="67"/>
      <c r="AW93" s="67"/>
      <c r="AX93" s="67"/>
      <c r="AY93" s="190">
        <f t="shared" si="51"/>
        <v>0.35515827933143684</v>
      </c>
      <c r="AZ93" s="68"/>
      <c r="BA93" s="276" t="s">
        <v>226</v>
      </c>
      <c r="BB93" s="69"/>
      <c r="BC93" s="69"/>
      <c r="BD93" s="69"/>
      <c r="BE93" s="69"/>
      <c r="BF93" s="199"/>
      <c r="BG93" s="70"/>
      <c r="BH93" s="60" t="s">
        <v>226</v>
      </c>
      <c r="BI93" s="71"/>
      <c r="BJ93" s="71"/>
      <c r="BK93" s="71"/>
      <c r="BL93" s="71"/>
      <c r="BM93" s="200"/>
      <c r="BN93" s="72"/>
      <c r="BO93" s="276"/>
      <c r="BP93" s="67"/>
      <c r="BQ93" s="67"/>
      <c r="BR93" s="190">
        <f>W93/P93</f>
        <v>3.4965034965034968E-2</v>
      </c>
      <c r="BS93" s="190"/>
      <c r="BT93" s="73"/>
      <c r="BU93" s="73"/>
    </row>
    <row r="94" spans="1:73" s="11" customFormat="1" x14ac:dyDescent="0.25">
      <c r="A94" s="10"/>
      <c r="B94" s="33" t="s">
        <v>327</v>
      </c>
      <c r="C94" s="34"/>
      <c r="D94" s="35"/>
      <c r="E94" s="35"/>
      <c r="F94" s="93">
        <v>4</v>
      </c>
      <c r="G94" s="36">
        <v>4</v>
      </c>
      <c r="H94" s="34"/>
      <c r="I94" s="35"/>
      <c r="J94" s="35"/>
      <c r="K94" s="93">
        <v>0</v>
      </c>
      <c r="L94" s="36">
        <v>0</v>
      </c>
      <c r="M94" s="34"/>
      <c r="N94" s="35"/>
      <c r="O94" s="35"/>
      <c r="P94" s="93">
        <v>29</v>
      </c>
      <c r="Q94" s="36">
        <v>27</v>
      </c>
      <c r="R94" s="34"/>
      <c r="S94" s="35"/>
      <c r="T94" s="35"/>
      <c r="U94" s="35"/>
      <c r="V94" s="35"/>
      <c r="W94" s="93">
        <v>7</v>
      </c>
      <c r="X94" s="36">
        <v>6</v>
      </c>
      <c r="Y94" s="34"/>
      <c r="Z94" s="35"/>
      <c r="AA94" s="35"/>
      <c r="AB94" s="93"/>
      <c r="AC94" s="35"/>
      <c r="AD94" s="154"/>
      <c r="AE94" s="90"/>
      <c r="AF94" s="38"/>
      <c r="AG94" s="39"/>
      <c r="AH94" s="39"/>
      <c r="AI94" s="39"/>
      <c r="AJ94" s="39"/>
      <c r="AK94" s="154">
        <v>23182</v>
      </c>
      <c r="AL94" s="90">
        <v>26900</v>
      </c>
      <c r="AM94" s="38"/>
      <c r="AN94" s="39"/>
      <c r="AO94" s="39"/>
      <c r="AP94" s="39"/>
      <c r="AQ94" s="39"/>
      <c r="AR94" s="182">
        <v>6402</v>
      </c>
      <c r="AS94" s="40">
        <v>8200</v>
      </c>
      <c r="AT94" s="41"/>
      <c r="AU94" s="42"/>
      <c r="AV94" s="42"/>
      <c r="AW94" s="42"/>
      <c r="AX94" s="42"/>
      <c r="AY94" s="183">
        <f t="shared" si="51"/>
        <v>0.27616253990164785</v>
      </c>
      <c r="AZ94" s="43">
        <f t="shared" si="48"/>
        <v>0.30483271375464682</v>
      </c>
      <c r="BA94" s="41"/>
      <c r="BB94" s="44"/>
      <c r="BC94" s="44"/>
      <c r="BD94" s="44"/>
      <c r="BE94" s="44"/>
      <c r="BF94" s="184"/>
      <c r="BG94" s="45"/>
      <c r="BH94" s="34"/>
      <c r="BI94" s="46"/>
      <c r="BJ94" s="46"/>
      <c r="BK94" s="46"/>
      <c r="BL94" s="46"/>
      <c r="BM94" s="185"/>
      <c r="BN94" s="47">
        <f t="shared" si="52"/>
        <v>2.867017385299897</v>
      </c>
      <c r="BO94" s="41"/>
      <c r="BP94" s="42"/>
      <c r="BQ94" s="42"/>
      <c r="BR94" s="183">
        <f>W94/P94</f>
        <v>0.2413793103448276</v>
      </c>
      <c r="BS94" s="183">
        <f>X94/Q94</f>
        <v>0.22222222222222221</v>
      </c>
      <c r="BT94" s="48"/>
      <c r="BU94" s="48">
        <f>(Q94-P94)/P94</f>
        <v>-6.8965517241379309E-2</v>
      </c>
    </row>
    <row r="95" spans="1:73" s="9" customFormat="1" x14ac:dyDescent="0.25">
      <c r="A95" s="12">
        <v>45</v>
      </c>
      <c r="B95" s="17" t="s">
        <v>24</v>
      </c>
      <c r="C95" s="2"/>
      <c r="D95" s="3"/>
      <c r="E95" s="3"/>
      <c r="F95" s="144"/>
      <c r="G95" s="4"/>
      <c r="H95" s="2"/>
      <c r="I95" s="3">
        <v>1293</v>
      </c>
      <c r="J95" s="3">
        <v>1318</v>
      </c>
      <c r="K95" s="144"/>
      <c r="L95" s="4"/>
      <c r="M95" s="2"/>
      <c r="N95" s="3">
        <v>112</v>
      </c>
      <c r="O95" s="3">
        <v>304</v>
      </c>
      <c r="P95" s="144"/>
      <c r="Q95" s="4"/>
      <c r="R95" s="2"/>
      <c r="S95" s="3"/>
      <c r="T95" s="3"/>
      <c r="U95" s="3">
        <v>65</v>
      </c>
      <c r="V95" s="3">
        <v>76</v>
      </c>
      <c r="W95" s="144"/>
      <c r="X95" s="4"/>
      <c r="Y95" s="2"/>
      <c r="Z95" s="3">
        <v>21.22</v>
      </c>
      <c r="AA95" s="3">
        <v>27.59</v>
      </c>
      <c r="AB95" s="144">
        <v>42.99</v>
      </c>
      <c r="AC95" s="3">
        <v>32.49</v>
      </c>
      <c r="AD95" s="153"/>
      <c r="AE95" s="86"/>
      <c r="AF95" s="19"/>
      <c r="AG95" s="20"/>
      <c r="AH95" s="20"/>
      <c r="AI95" s="20">
        <v>3069</v>
      </c>
      <c r="AJ95" s="20">
        <v>104521</v>
      </c>
      <c r="AK95" s="210"/>
      <c r="AL95" s="21"/>
      <c r="AM95" s="19"/>
      <c r="AN95" s="20"/>
      <c r="AO95" s="20"/>
      <c r="AP95" s="20">
        <v>927</v>
      </c>
      <c r="AQ95" s="20">
        <v>16903</v>
      </c>
      <c r="AR95" s="210"/>
      <c r="AS95" s="21"/>
      <c r="AT95" s="50"/>
      <c r="AU95" s="51"/>
      <c r="AV95" s="51"/>
      <c r="AW95" s="51"/>
      <c r="AX95" s="51">
        <f>AQ95/AJ95</f>
        <v>0.16171869767797858</v>
      </c>
      <c r="AY95" s="211"/>
      <c r="AZ95" s="52"/>
      <c r="BA95" s="50" t="s">
        <v>226</v>
      </c>
      <c r="BB95" s="53"/>
      <c r="BC95" s="53"/>
      <c r="BD95" s="53"/>
      <c r="BE95" s="53"/>
      <c r="BF95" s="212"/>
      <c r="BG95" s="54"/>
      <c r="BH95" s="2" t="s">
        <v>226</v>
      </c>
      <c r="BI95" s="55"/>
      <c r="BJ95" s="55"/>
      <c r="BK95" s="55"/>
      <c r="BL95" s="55"/>
      <c r="BM95" s="213"/>
      <c r="BN95" s="56"/>
      <c r="BO95" s="50"/>
      <c r="BP95" s="51">
        <f>U95/N95</f>
        <v>0.5803571428571429</v>
      </c>
      <c r="BQ95" s="51">
        <f>V95/O95</f>
        <v>0.25</v>
      </c>
      <c r="BR95" s="211"/>
      <c r="BS95" s="211"/>
      <c r="BT95" s="57"/>
      <c r="BU95" s="57"/>
    </row>
    <row r="96" spans="1:73" s="24" customFormat="1" x14ac:dyDescent="0.25">
      <c r="A96" s="12">
        <v>46</v>
      </c>
      <c r="B96" s="17" t="s">
        <v>389</v>
      </c>
      <c r="C96" s="2">
        <v>22</v>
      </c>
      <c r="D96" s="3">
        <v>22</v>
      </c>
      <c r="E96" s="3">
        <v>22</v>
      </c>
      <c r="F96" s="144"/>
      <c r="G96" s="4">
        <v>24</v>
      </c>
      <c r="H96" s="2">
        <v>1252</v>
      </c>
      <c r="I96" s="3">
        <v>1200</v>
      </c>
      <c r="J96" s="3">
        <v>1174</v>
      </c>
      <c r="K96" s="144"/>
      <c r="L96" s="4">
        <v>633</v>
      </c>
      <c r="M96" s="2">
        <v>299</v>
      </c>
      <c r="N96" s="3">
        <v>330</v>
      </c>
      <c r="O96" s="3">
        <v>335</v>
      </c>
      <c r="P96" s="144"/>
      <c r="Q96" s="4">
        <v>163</v>
      </c>
      <c r="R96" s="2">
        <v>0</v>
      </c>
      <c r="S96" s="3">
        <v>0</v>
      </c>
      <c r="T96" s="3">
        <v>2</v>
      </c>
      <c r="U96" s="3">
        <v>12</v>
      </c>
      <c r="V96" s="3">
        <v>12</v>
      </c>
      <c r="W96" s="144"/>
      <c r="X96" s="4">
        <v>39</v>
      </c>
      <c r="Y96" s="2" t="s">
        <v>314</v>
      </c>
      <c r="Z96" s="3" t="s">
        <v>315</v>
      </c>
      <c r="AA96" s="3" t="s">
        <v>316</v>
      </c>
      <c r="AB96" s="144" t="s">
        <v>316</v>
      </c>
      <c r="AC96" s="3" t="s">
        <v>316</v>
      </c>
      <c r="AD96" s="3"/>
      <c r="AE96" s="3">
        <v>33.68</v>
      </c>
      <c r="AF96" s="19">
        <v>124745</v>
      </c>
      <c r="AG96" s="20">
        <v>117222</v>
      </c>
      <c r="AH96" s="20">
        <v>144003</v>
      </c>
      <c r="AI96" s="20">
        <v>205573</v>
      </c>
      <c r="AJ96" s="20">
        <v>205962</v>
      </c>
      <c r="AK96" s="210"/>
      <c r="AL96" s="21">
        <v>190530</v>
      </c>
      <c r="AM96" s="19">
        <v>12384</v>
      </c>
      <c r="AN96" s="20">
        <v>10720</v>
      </c>
      <c r="AO96" s="20">
        <v>16670</v>
      </c>
      <c r="AP96" s="20">
        <v>27527</v>
      </c>
      <c r="AQ96" s="20">
        <v>46826</v>
      </c>
      <c r="AR96" s="210"/>
      <c r="AS96" s="21">
        <v>70296</v>
      </c>
      <c r="AT96" s="50">
        <f>AM96/AF96</f>
        <v>9.9274520020842513E-2</v>
      </c>
      <c r="AU96" s="51">
        <f>AN96/AG96</f>
        <v>9.1450410332531443E-2</v>
      </c>
      <c r="AV96" s="51">
        <f>AO96/AH96</f>
        <v>0.1157614771914474</v>
      </c>
      <c r="AW96" s="51">
        <f>AP96/AI96</f>
        <v>0.13390377140966955</v>
      </c>
      <c r="AX96" s="51">
        <f>AQ96/AJ96</f>
        <v>0.22735261844417903</v>
      </c>
      <c r="AY96" s="211"/>
      <c r="AZ96" s="52">
        <f t="shared" si="48"/>
        <v>0.36894977168949772</v>
      </c>
      <c r="BA96" s="50" t="s">
        <v>226</v>
      </c>
      <c r="BB96" s="53">
        <f>(AU96-$AT96)*100</f>
        <v>-0.78241096883110706</v>
      </c>
      <c r="BC96" s="53">
        <f>(AV96-$AT96)*100</f>
        <v>1.6486957170604888</v>
      </c>
      <c r="BD96" s="53">
        <f>(AW96-$AT96)*100</f>
        <v>3.4629251388827038</v>
      </c>
      <c r="BE96" s="53">
        <f>(AX96-$AT96)*100</f>
        <v>12.807809842333651</v>
      </c>
      <c r="BF96" s="212"/>
      <c r="BG96" s="54">
        <f t="shared" si="49"/>
        <v>26.967525166865521</v>
      </c>
      <c r="BH96" s="2" t="s">
        <v>226</v>
      </c>
      <c r="BI96" s="55">
        <f>(AU96-AT96)*100</f>
        <v>-0.78241096883110706</v>
      </c>
      <c r="BJ96" s="55">
        <f>(AV96-AU96)*100</f>
        <v>2.4311066858915957</v>
      </c>
      <c r="BK96" s="55">
        <f>(AW96-AV96)*100</f>
        <v>1.8142294218222152</v>
      </c>
      <c r="BL96" s="55">
        <f>(AX96-AW96)*100</f>
        <v>9.3448847034509477</v>
      </c>
      <c r="BM96" s="213"/>
      <c r="BN96" s="56"/>
      <c r="BO96" s="50">
        <f>T96/M96</f>
        <v>6.688963210702341E-3</v>
      </c>
      <c r="BP96" s="51">
        <f>U96/N96</f>
        <v>3.6363636363636362E-2</v>
      </c>
      <c r="BQ96" s="51"/>
      <c r="BR96" s="211"/>
      <c r="BS96" s="211">
        <f t="shared" ref="BS96:BS101" si="64">X96/Q96</f>
        <v>0.2392638036809816</v>
      </c>
      <c r="BT96" s="57"/>
      <c r="BU96" s="57"/>
    </row>
    <row r="97" spans="1:73" s="22" customFormat="1" x14ac:dyDescent="0.25">
      <c r="A97" s="13"/>
      <c r="B97" s="59" t="s">
        <v>329</v>
      </c>
      <c r="C97" s="60"/>
      <c r="D97" s="61"/>
      <c r="E97" s="61"/>
      <c r="F97" s="145">
        <v>6</v>
      </c>
      <c r="G97" s="62">
        <v>0</v>
      </c>
      <c r="H97" s="60"/>
      <c r="I97" s="61"/>
      <c r="J97" s="61"/>
      <c r="K97" s="145">
        <v>205</v>
      </c>
      <c r="L97" s="62">
        <v>208</v>
      </c>
      <c r="M97" s="60"/>
      <c r="N97" s="61"/>
      <c r="O97" s="61"/>
      <c r="P97" s="145">
        <v>42</v>
      </c>
      <c r="Q97" s="62">
        <v>53</v>
      </c>
      <c r="R97" s="60"/>
      <c r="S97" s="61"/>
      <c r="T97" s="61"/>
      <c r="U97" s="61"/>
      <c r="V97" s="61"/>
      <c r="W97" s="145">
        <v>0</v>
      </c>
      <c r="X97" s="62">
        <v>0</v>
      </c>
      <c r="Y97" s="60"/>
      <c r="Z97" s="61"/>
      <c r="AA97" s="61"/>
      <c r="AB97" s="145"/>
      <c r="AC97" s="61"/>
      <c r="AD97" s="152">
        <v>20.16</v>
      </c>
      <c r="AE97" s="64">
        <v>12.15</v>
      </c>
      <c r="AF97" s="270"/>
      <c r="AG97" s="65"/>
      <c r="AH97" s="65"/>
      <c r="AI97" s="65"/>
      <c r="AJ97" s="65"/>
      <c r="AK97" s="196">
        <v>17915.150000000001</v>
      </c>
      <c r="AL97" s="66">
        <v>20005</v>
      </c>
      <c r="AM97" s="270"/>
      <c r="AN97" s="65"/>
      <c r="AO97" s="65"/>
      <c r="AP97" s="65"/>
      <c r="AQ97" s="65"/>
      <c r="AR97" s="196">
        <v>2847.49</v>
      </c>
      <c r="AS97" s="66">
        <v>2657</v>
      </c>
      <c r="AT97" s="276"/>
      <c r="AU97" s="67"/>
      <c r="AV97" s="67"/>
      <c r="AW97" s="67"/>
      <c r="AX97" s="67"/>
      <c r="AY97" s="190">
        <f t="shared" si="51"/>
        <v>0.15894312913930386</v>
      </c>
      <c r="AZ97" s="68">
        <f t="shared" si="48"/>
        <v>0.13281679580104974</v>
      </c>
      <c r="BA97" s="276"/>
      <c r="BB97" s="69"/>
      <c r="BC97" s="69"/>
      <c r="BD97" s="69"/>
      <c r="BE97" s="69"/>
      <c r="BF97" s="199"/>
      <c r="BG97" s="70"/>
      <c r="BH97" s="60"/>
      <c r="BI97" s="71"/>
      <c r="BJ97" s="71"/>
      <c r="BK97" s="71"/>
      <c r="BL97" s="71"/>
      <c r="BM97" s="200"/>
      <c r="BN97" s="72">
        <f t="shared" si="52"/>
        <v>-2.612633333825412</v>
      </c>
      <c r="BO97" s="276"/>
      <c r="BP97" s="67"/>
      <c r="BQ97" s="67"/>
      <c r="BR97" s="190">
        <f>W97/P97</f>
        <v>0</v>
      </c>
      <c r="BS97" s="190">
        <f t="shared" si="64"/>
        <v>0</v>
      </c>
      <c r="BT97" s="73"/>
      <c r="BU97" s="73">
        <f>(Q97-P97)/P97</f>
        <v>0.26190476190476192</v>
      </c>
    </row>
    <row r="98" spans="1:73" s="9" customFormat="1" x14ac:dyDescent="0.25">
      <c r="A98" s="12">
        <v>47</v>
      </c>
      <c r="B98" s="17" t="s">
        <v>25</v>
      </c>
      <c r="C98" s="2"/>
      <c r="D98" s="3"/>
      <c r="E98" s="3"/>
      <c r="F98" s="144">
        <v>8</v>
      </c>
      <c r="G98" s="4">
        <v>8</v>
      </c>
      <c r="H98" s="2"/>
      <c r="I98" s="3"/>
      <c r="J98" s="3"/>
      <c r="K98" s="144">
        <v>2137</v>
      </c>
      <c r="L98" s="4">
        <v>2137</v>
      </c>
      <c r="M98" s="2"/>
      <c r="N98" s="3"/>
      <c r="O98" s="3"/>
      <c r="P98" s="144">
        <v>660</v>
      </c>
      <c r="Q98" s="4">
        <v>651</v>
      </c>
      <c r="R98" s="2"/>
      <c r="S98" s="3"/>
      <c r="T98" s="3"/>
      <c r="U98" s="3"/>
      <c r="V98" s="3"/>
      <c r="W98" s="144">
        <v>53</v>
      </c>
      <c r="X98" s="4">
        <v>64</v>
      </c>
      <c r="Y98" s="2"/>
      <c r="Z98" s="3"/>
      <c r="AA98" s="3"/>
      <c r="AB98" s="144"/>
      <c r="AC98" s="3"/>
      <c r="AD98" s="153">
        <v>39.82</v>
      </c>
      <c r="AE98" s="153">
        <v>39.82</v>
      </c>
      <c r="AF98" s="19"/>
      <c r="AG98" s="20"/>
      <c r="AH98" s="20"/>
      <c r="AI98" s="20"/>
      <c r="AJ98" s="20"/>
      <c r="AK98" s="210">
        <v>873348</v>
      </c>
      <c r="AL98" s="21">
        <v>820772</v>
      </c>
      <c r="AM98" s="19"/>
      <c r="AN98" s="20"/>
      <c r="AO98" s="20"/>
      <c r="AP98" s="20"/>
      <c r="AQ98" s="20"/>
      <c r="AR98" s="210">
        <v>67702</v>
      </c>
      <c r="AS98" s="21">
        <v>66726</v>
      </c>
      <c r="AT98" s="50"/>
      <c r="AU98" s="51"/>
      <c r="AV98" s="51"/>
      <c r="AW98" s="51"/>
      <c r="AX98" s="51"/>
      <c r="AY98" s="211">
        <f t="shared" si="51"/>
        <v>7.7520072181993888E-2</v>
      </c>
      <c r="AZ98" s="52">
        <f t="shared" si="48"/>
        <v>8.1296632926074475E-2</v>
      </c>
      <c r="BA98" s="50" t="s">
        <v>226</v>
      </c>
      <c r="BB98" s="53"/>
      <c r="BC98" s="53"/>
      <c r="BD98" s="53"/>
      <c r="BE98" s="53"/>
      <c r="BF98" s="212"/>
      <c r="BG98" s="54"/>
      <c r="BH98" s="2" t="s">
        <v>226</v>
      </c>
      <c r="BI98" s="55"/>
      <c r="BJ98" s="55"/>
      <c r="BK98" s="55"/>
      <c r="BL98" s="55"/>
      <c r="BM98" s="213"/>
      <c r="BN98" s="56">
        <f t="shared" si="52"/>
        <v>0.37765607440805871</v>
      </c>
      <c r="BO98" s="50"/>
      <c r="BP98" s="51"/>
      <c r="BQ98" s="51"/>
      <c r="BR98" s="211">
        <f>W98/P98</f>
        <v>8.0303030303030307E-2</v>
      </c>
      <c r="BS98" s="211">
        <f t="shared" si="64"/>
        <v>9.8310291858678955E-2</v>
      </c>
      <c r="BT98" s="57">
        <f t="shared" si="53"/>
        <v>0</v>
      </c>
      <c r="BU98" s="57">
        <f>(Q98-P98)/P98</f>
        <v>-1.3636363636363636E-2</v>
      </c>
    </row>
    <row r="99" spans="1:73" s="14" customFormat="1" x14ac:dyDescent="0.25">
      <c r="A99" s="13">
        <v>48</v>
      </c>
      <c r="B99" s="59" t="s">
        <v>26</v>
      </c>
      <c r="C99" s="60"/>
      <c r="D99" s="61"/>
      <c r="E99" s="61"/>
      <c r="F99" s="145">
        <v>0</v>
      </c>
      <c r="G99" s="62">
        <v>0</v>
      </c>
      <c r="H99" s="60"/>
      <c r="I99" s="61"/>
      <c r="J99" s="61"/>
      <c r="K99" s="145">
        <v>233</v>
      </c>
      <c r="L99" s="62">
        <v>228</v>
      </c>
      <c r="M99" s="60"/>
      <c r="N99" s="61"/>
      <c r="O99" s="61"/>
      <c r="P99" s="145">
        <v>104</v>
      </c>
      <c r="Q99" s="62">
        <v>52</v>
      </c>
      <c r="R99" s="60"/>
      <c r="S99" s="61"/>
      <c r="T99" s="61"/>
      <c r="U99" s="61"/>
      <c r="V99" s="61"/>
      <c r="W99" s="145">
        <v>0</v>
      </c>
      <c r="X99" s="62">
        <v>1</v>
      </c>
      <c r="Y99" s="60"/>
      <c r="Z99" s="61"/>
      <c r="AA99" s="61"/>
      <c r="AB99" s="145"/>
      <c r="AC99" s="61"/>
      <c r="AD99" s="152">
        <v>32.729999999999997</v>
      </c>
      <c r="AE99" s="64">
        <v>38.18</v>
      </c>
      <c r="AF99" s="270"/>
      <c r="AG99" s="65"/>
      <c r="AH99" s="65"/>
      <c r="AI99" s="65"/>
      <c r="AJ99" s="65"/>
      <c r="AK99" s="196">
        <v>74806</v>
      </c>
      <c r="AL99" s="66">
        <v>78712</v>
      </c>
      <c r="AM99" s="270"/>
      <c r="AN99" s="65"/>
      <c r="AO99" s="65"/>
      <c r="AP99" s="65"/>
      <c r="AQ99" s="65"/>
      <c r="AR99" s="196">
        <v>13237</v>
      </c>
      <c r="AS99" s="66">
        <v>48376</v>
      </c>
      <c r="AT99" s="276"/>
      <c r="AU99" s="67"/>
      <c r="AV99" s="67"/>
      <c r="AW99" s="67"/>
      <c r="AX99" s="67"/>
      <c r="AY99" s="190">
        <f t="shared" si="51"/>
        <v>0.17695104670748335</v>
      </c>
      <c r="AZ99" s="68">
        <f t="shared" si="48"/>
        <v>0.61459497916454919</v>
      </c>
      <c r="BA99" s="276" t="s">
        <v>226</v>
      </c>
      <c r="BB99" s="69"/>
      <c r="BC99" s="69"/>
      <c r="BD99" s="69"/>
      <c r="BE99" s="69"/>
      <c r="BF99" s="199"/>
      <c r="BG99" s="70"/>
      <c r="BH99" s="60" t="s">
        <v>226</v>
      </c>
      <c r="BI99" s="71"/>
      <c r="BJ99" s="71"/>
      <c r="BK99" s="71"/>
      <c r="BL99" s="71"/>
      <c r="BM99" s="200"/>
      <c r="BN99" s="72">
        <f t="shared" si="52"/>
        <v>43.764393245706586</v>
      </c>
      <c r="BO99" s="276"/>
      <c r="BP99" s="67"/>
      <c r="BQ99" s="67"/>
      <c r="BR99" s="190">
        <f>W99/P99</f>
        <v>0</v>
      </c>
      <c r="BS99" s="190">
        <f t="shared" si="64"/>
        <v>1.9230769230769232E-2</v>
      </c>
      <c r="BT99" s="73">
        <f t="shared" si="53"/>
        <v>0.1665139016193096</v>
      </c>
      <c r="BU99" s="73">
        <f>(Q99-P99)/P99</f>
        <v>-0.5</v>
      </c>
    </row>
    <row r="100" spans="1:73" s="22" customFormat="1" x14ac:dyDescent="0.25">
      <c r="A100" s="13">
        <v>49</v>
      </c>
      <c r="B100" s="59" t="s">
        <v>27</v>
      </c>
      <c r="C100" s="60">
        <v>0</v>
      </c>
      <c r="D100" s="61">
        <v>0</v>
      </c>
      <c r="E100" s="61">
        <v>0</v>
      </c>
      <c r="F100" s="145"/>
      <c r="G100" s="62">
        <v>20</v>
      </c>
      <c r="H100" s="60">
        <v>500</v>
      </c>
      <c r="I100" s="61">
        <v>500</v>
      </c>
      <c r="J100" s="61">
        <v>500</v>
      </c>
      <c r="K100" s="145"/>
      <c r="L100" s="62">
        <v>320</v>
      </c>
      <c r="M100" s="60">
        <v>250</v>
      </c>
      <c r="N100" s="61">
        <v>250</v>
      </c>
      <c r="O100" s="61">
        <v>250</v>
      </c>
      <c r="P100" s="145"/>
      <c r="Q100" s="62">
        <v>175</v>
      </c>
      <c r="R100" s="60">
        <v>0</v>
      </c>
      <c r="S100" s="61">
        <v>0</v>
      </c>
      <c r="T100" s="61">
        <v>5</v>
      </c>
      <c r="U100" s="61">
        <v>8</v>
      </c>
      <c r="V100" s="61">
        <v>10</v>
      </c>
      <c r="W100" s="145"/>
      <c r="X100" s="62">
        <v>49</v>
      </c>
      <c r="Y100" s="60"/>
      <c r="Z100" s="61"/>
      <c r="AA100" s="61" t="s">
        <v>151</v>
      </c>
      <c r="AB100" s="145" t="s">
        <v>252</v>
      </c>
      <c r="AC100" s="61" t="s">
        <v>252</v>
      </c>
      <c r="AD100" s="152"/>
      <c r="AE100" s="64">
        <v>33.32</v>
      </c>
      <c r="AF100" s="270"/>
      <c r="AG100" s="65"/>
      <c r="AH100" s="65"/>
      <c r="AI100" s="65"/>
      <c r="AJ100" s="65">
        <v>60966</v>
      </c>
      <c r="AK100" s="196"/>
      <c r="AL100" s="66">
        <v>85065</v>
      </c>
      <c r="AM100" s="270"/>
      <c r="AN100" s="65"/>
      <c r="AO100" s="65"/>
      <c r="AP100" s="65"/>
      <c r="AQ100" s="65"/>
      <c r="AR100" s="196"/>
      <c r="AS100" s="66">
        <v>12517</v>
      </c>
      <c r="AT100" s="276"/>
      <c r="AU100" s="67"/>
      <c r="AV100" s="67"/>
      <c r="AW100" s="67"/>
      <c r="AX100" s="67"/>
      <c r="AY100" s="190"/>
      <c r="AZ100" s="68">
        <f t="shared" si="48"/>
        <v>0.1471462998883207</v>
      </c>
      <c r="BA100" s="276" t="s">
        <v>226</v>
      </c>
      <c r="BB100" s="69"/>
      <c r="BC100" s="69"/>
      <c r="BD100" s="69"/>
      <c r="BE100" s="69"/>
      <c r="BF100" s="199"/>
      <c r="BG100" s="70"/>
      <c r="BH100" s="60" t="s">
        <v>226</v>
      </c>
      <c r="BI100" s="71"/>
      <c r="BJ100" s="71"/>
      <c r="BK100" s="71"/>
      <c r="BL100" s="71"/>
      <c r="BM100" s="200"/>
      <c r="BN100" s="72"/>
      <c r="BO100" s="276">
        <f t="shared" ref="BO100:BQ103" si="65">T100/M100</f>
        <v>0.02</v>
      </c>
      <c r="BP100" s="67">
        <f t="shared" si="65"/>
        <v>3.2000000000000001E-2</v>
      </c>
      <c r="BQ100" s="67">
        <f t="shared" si="65"/>
        <v>0.04</v>
      </c>
      <c r="BR100" s="190"/>
      <c r="BS100" s="190">
        <f t="shared" si="64"/>
        <v>0.28000000000000003</v>
      </c>
      <c r="BT100" s="73"/>
      <c r="BU100" s="73"/>
    </row>
    <row r="101" spans="1:73" s="9" customFormat="1" x14ac:dyDescent="0.25">
      <c r="A101" s="12">
        <v>50</v>
      </c>
      <c r="B101" s="17" t="s">
        <v>162</v>
      </c>
      <c r="C101" s="2">
        <v>0</v>
      </c>
      <c r="D101" s="3">
        <v>2</v>
      </c>
      <c r="E101" s="3">
        <v>6</v>
      </c>
      <c r="F101" s="144">
        <v>6</v>
      </c>
      <c r="G101" s="4">
        <v>6</v>
      </c>
      <c r="H101" s="2">
        <v>1990</v>
      </c>
      <c r="I101" s="3">
        <v>1934</v>
      </c>
      <c r="J101" s="3">
        <v>1975</v>
      </c>
      <c r="K101" s="144">
        <v>2200</v>
      </c>
      <c r="L101" s="4">
        <v>2200</v>
      </c>
      <c r="M101" s="2">
        <v>230</v>
      </c>
      <c r="N101" s="3">
        <v>373</v>
      </c>
      <c r="O101" s="3">
        <v>393</v>
      </c>
      <c r="P101" s="144">
        <v>442</v>
      </c>
      <c r="Q101" s="4">
        <v>405</v>
      </c>
      <c r="R101" s="2">
        <v>68</v>
      </c>
      <c r="S101" s="3">
        <v>67</v>
      </c>
      <c r="T101" s="3">
        <v>21</v>
      </c>
      <c r="U101" s="3">
        <v>10</v>
      </c>
      <c r="V101" s="3">
        <v>8</v>
      </c>
      <c r="W101" s="144">
        <v>0</v>
      </c>
      <c r="X101" s="4">
        <v>7</v>
      </c>
      <c r="Y101" s="5">
        <v>29.5</v>
      </c>
      <c r="Z101" s="49">
        <v>34.75</v>
      </c>
      <c r="AA101" s="49">
        <v>37.5</v>
      </c>
      <c r="AB101" s="153">
        <v>36.5</v>
      </c>
      <c r="AC101" s="49">
        <v>35</v>
      </c>
      <c r="AD101" s="153">
        <v>35</v>
      </c>
      <c r="AE101" s="153">
        <v>35</v>
      </c>
      <c r="AF101" s="19">
        <v>370705</v>
      </c>
      <c r="AG101" s="20">
        <v>333560</v>
      </c>
      <c r="AH101" s="20">
        <v>346895</v>
      </c>
      <c r="AI101" s="20">
        <v>474536</v>
      </c>
      <c r="AJ101" s="20">
        <v>515698</v>
      </c>
      <c r="AK101" s="210">
        <v>453675</v>
      </c>
      <c r="AL101" s="21">
        <v>479327</v>
      </c>
      <c r="AM101" s="19">
        <v>81431</v>
      </c>
      <c r="AN101" s="20">
        <v>72562</v>
      </c>
      <c r="AO101" s="20">
        <v>10000</v>
      </c>
      <c r="AP101" s="20">
        <v>36455</v>
      </c>
      <c r="AQ101" s="20">
        <v>35621</v>
      </c>
      <c r="AR101" s="210">
        <v>16784</v>
      </c>
      <c r="AS101" s="21">
        <v>158558</v>
      </c>
      <c r="AT101" s="50">
        <f t="shared" si="26"/>
        <v>0.21966523246247016</v>
      </c>
      <c r="AU101" s="51">
        <f t="shared" si="27"/>
        <v>0.21753807410960546</v>
      </c>
      <c r="AV101" s="51">
        <f t="shared" si="28"/>
        <v>2.8827166721918738E-2</v>
      </c>
      <c r="AW101" s="51">
        <f t="shared" si="29"/>
        <v>7.6822411787514547E-2</v>
      </c>
      <c r="AX101" s="51">
        <f t="shared" si="30"/>
        <v>6.9073372400125649E-2</v>
      </c>
      <c r="AY101" s="211">
        <f t="shared" si="51"/>
        <v>3.6995646663360332E-2</v>
      </c>
      <c r="AZ101" s="52">
        <f t="shared" si="48"/>
        <v>0.33079296597103858</v>
      </c>
      <c r="BA101" s="50" t="s">
        <v>226</v>
      </c>
      <c r="BB101" s="53">
        <f t="shared" si="56"/>
        <v>-0.21271583528646998</v>
      </c>
      <c r="BC101" s="53">
        <f t="shared" si="57"/>
        <v>-19.083806574055142</v>
      </c>
      <c r="BD101" s="53">
        <f t="shared" si="58"/>
        <v>-14.284282067495562</v>
      </c>
      <c r="BE101" s="53">
        <f t="shared" si="59"/>
        <v>-15.059186006234452</v>
      </c>
      <c r="BF101" s="212">
        <f t="shared" ref="BF101:BF138" si="66">(AY101-$AT101)*100</f>
        <v>-18.266958579910984</v>
      </c>
      <c r="BG101" s="54">
        <f t="shared" si="49"/>
        <v>11.112773350856841</v>
      </c>
      <c r="BH101" s="2" t="s">
        <v>226</v>
      </c>
      <c r="BI101" s="55">
        <f t="shared" si="60"/>
        <v>-0.21271583528646998</v>
      </c>
      <c r="BJ101" s="55">
        <f t="shared" si="61"/>
        <v>-18.871090738768672</v>
      </c>
      <c r="BK101" s="55">
        <f t="shared" si="62"/>
        <v>4.7995245065595808</v>
      </c>
      <c r="BL101" s="55">
        <f t="shared" si="63"/>
        <v>-0.77490393873888985</v>
      </c>
      <c r="BM101" s="213">
        <f t="shared" ref="BM101:BM139" si="67">(AY101-AX101)*100</f>
        <v>-3.2077725736765315</v>
      </c>
      <c r="BN101" s="56">
        <f t="shared" si="52"/>
        <v>29.379731930767829</v>
      </c>
      <c r="BO101" s="50">
        <f t="shared" si="65"/>
        <v>9.1304347826086957E-2</v>
      </c>
      <c r="BP101" s="51">
        <f t="shared" si="65"/>
        <v>2.6809651474530832E-2</v>
      </c>
      <c r="BQ101" s="51">
        <f t="shared" si="65"/>
        <v>2.0356234096692113E-2</v>
      </c>
      <c r="BR101" s="211">
        <f>W101/P101</f>
        <v>0</v>
      </c>
      <c r="BS101" s="211">
        <f t="shared" si="64"/>
        <v>1.7283950617283949E-2</v>
      </c>
      <c r="BT101" s="57">
        <f t="shared" si="53"/>
        <v>0</v>
      </c>
      <c r="BU101" s="57">
        <f>(Q101-P101)/P101</f>
        <v>-8.3710407239818999E-2</v>
      </c>
    </row>
    <row r="102" spans="1:73" s="11" customFormat="1" x14ac:dyDescent="0.25">
      <c r="A102" s="10"/>
      <c r="B102" s="33" t="s">
        <v>163</v>
      </c>
      <c r="C102" s="34">
        <v>3</v>
      </c>
      <c r="D102" s="35">
        <v>3</v>
      </c>
      <c r="E102" s="35">
        <v>3</v>
      </c>
      <c r="F102" s="93">
        <v>6</v>
      </c>
      <c r="G102" s="36"/>
      <c r="H102" s="34">
        <v>0</v>
      </c>
      <c r="I102" s="35">
        <v>0</v>
      </c>
      <c r="J102" s="35">
        <v>0</v>
      </c>
      <c r="K102" s="93">
        <v>0</v>
      </c>
      <c r="L102" s="36"/>
      <c r="M102" s="34">
        <v>3</v>
      </c>
      <c r="N102" s="35">
        <v>3</v>
      </c>
      <c r="O102" s="35">
        <v>3</v>
      </c>
      <c r="P102" s="93">
        <v>3</v>
      </c>
      <c r="Q102" s="36"/>
      <c r="R102" s="34">
        <v>0</v>
      </c>
      <c r="S102" s="35">
        <v>0</v>
      </c>
      <c r="T102" s="35">
        <v>0</v>
      </c>
      <c r="U102" s="35">
        <v>0</v>
      </c>
      <c r="V102" s="35">
        <v>0</v>
      </c>
      <c r="W102" s="93">
        <v>0</v>
      </c>
      <c r="X102" s="36"/>
      <c r="Y102" s="88">
        <v>46.5</v>
      </c>
      <c r="Z102" s="89">
        <v>46.5</v>
      </c>
      <c r="AA102" s="89">
        <v>46.5</v>
      </c>
      <c r="AB102" s="154">
        <v>46.5</v>
      </c>
      <c r="AC102" s="89">
        <v>46.5</v>
      </c>
      <c r="AD102" s="154">
        <v>46.5</v>
      </c>
      <c r="AE102" s="90"/>
      <c r="AF102" s="38"/>
      <c r="AG102" s="39"/>
      <c r="AH102" s="39">
        <v>21539.5</v>
      </c>
      <c r="AI102" s="39">
        <v>19771.38</v>
      </c>
      <c r="AJ102" s="39">
        <v>20784.189999999999</v>
      </c>
      <c r="AK102" s="182">
        <v>21591.14</v>
      </c>
      <c r="AL102" s="40"/>
      <c r="AM102" s="38"/>
      <c r="AN102" s="39"/>
      <c r="AO102" s="39">
        <v>2124.96</v>
      </c>
      <c r="AP102" s="39">
        <v>2131.19</v>
      </c>
      <c r="AQ102" s="39">
        <v>4856.2700000000004</v>
      </c>
      <c r="AR102" s="182">
        <v>6037.07</v>
      </c>
      <c r="AS102" s="40"/>
      <c r="AT102" s="41"/>
      <c r="AU102" s="42"/>
      <c r="AV102" s="42">
        <f t="shared" si="28"/>
        <v>9.8654100605863645E-2</v>
      </c>
      <c r="AW102" s="42">
        <f t="shared" si="29"/>
        <v>0.10779166654022126</v>
      </c>
      <c r="AX102" s="42">
        <f t="shared" si="30"/>
        <v>0.23365211730647192</v>
      </c>
      <c r="AY102" s="183">
        <f t="shared" si="51"/>
        <v>0.27960867281672019</v>
      </c>
      <c r="AZ102" s="43"/>
      <c r="BA102" s="41" t="s">
        <v>226</v>
      </c>
      <c r="BB102" s="44"/>
      <c r="BC102" s="44"/>
      <c r="BD102" s="44"/>
      <c r="BE102" s="44"/>
      <c r="BF102" s="184">
        <f t="shared" si="66"/>
        <v>27.960867281672019</v>
      </c>
      <c r="BG102" s="45"/>
      <c r="BH102" s="34" t="s">
        <v>226</v>
      </c>
      <c r="BI102" s="46"/>
      <c r="BJ102" s="46"/>
      <c r="BK102" s="46">
        <f t="shared" si="62"/>
        <v>0.91375659343576188</v>
      </c>
      <c r="BL102" s="46">
        <f t="shared" si="63"/>
        <v>12.586045076625066</v>
      </c>
      <c r="BM102" s="185">
        <f t="shared" si="67"/>
        <v>4.5956555510248274</v>
      </c>
      <c r="BN102" s="47"/>
      <c r="BO102" s="41">
        <f t="shared" si="65"/>
        <v>0</v>
      </c>
      <c r="BP102" s="42">
        <f t="shared" si="65"/>
        <v>0</v>
      </c>
      <c r="BQ102" s="42">
        <f t="shared" si="65"/>
        <v>0</v>
      </c>
      <c r="BR102" s="183">
        <f>W102/P102</f>
        <v>0</v>
      </c>
      <c r="BS102" s="183"/>
      <c r="BT102" s="48"/>
      <c r="BU102" s="48"/>
    </row>
    <row r="103" spans="1:73" s="14" customFormat="1" x14ac:dyDescent="0.25">
      <c r="A103" s="13"/>
      <c r="B103" s="59" t="s">
        <v>164</v>
      </c>
      <c r="C103" s="60">
        <v>4</v>
      </c>
      <c r="D103" s="61">
        <v>4</v>
      </c>
      <c r="E103" s="61">
        <v>4</v>
      </c>
      <c r="F103" s="145">
        <v>4</v>
      </c>
      <c r="G103" s="62"/>
      <c r="H103" s="60">
        <v>92</v>
      </c>
      <c r="I103" s="61">
        <v>92</v>
      </c>
      <c r="J103" s="61">
        <v>92</v>
      </c>
      <c r="K103" s="145">
        <v>88</v>
      </c>
      <c r="L103" s="62"/>
      <c r="M103" s="60">
        <v>59</v>
      </c>
      <c r="N103" s="61">
        <v>64</v>
      </c>
      <c r="O103" s="61">
        <v>70</v>
      </c>
      <c r="P103" s="145">
        <v>51</v>
      </c>
      <c r="Q103" s="62"/>
      <c r="R103" s="60">
        <v>0</v>
      </c>
      <c r="S103" s="61">
        <v>0</v>
      </c>
      <c r="T103" s="61">
        <v>0</v>
      </c>
      <c r="U103" s="61">
        <v>0</v>
      </c>
      <c r="V103" s="61">
        <v>0</v>
      </c>
      <c r="W103" s="145">
        <v>0</v>
      </c>
      <c r="X103" s="62"/>
      <c r="Y103" s="60" t="s">
        <v>165</v>
      </c>
      <c r="Z103" s="61" t="s">
        <v>166</v>
      </c>
      <c r="AA103" s="61" t="s">
        <v>167</v>
      </c>
      <c r="AB103" s="145" t="s">
        <v>167</v>
      </c>
      <c r="AC103" s="61" t="s">
        <v>167</v>
      </c>
      <c r="AD103" s="152" t="s">
        <v>144</v>
      </c>
      <c r="AE103" s="64"/>
      <c r="AF103" s="270">
        <v>13120</v>
      </c>
      <c r="AG103" s="65">
        <v>13382</v>
      </c>
      <c r="AH103" s="65">
        <v>13578</v>
      </c>
      <c r="AI103" s="65">
        <v>15030</v>
      </c>
      <c r="AJ103" s="65">
        <v>16510</v>
      </c>
      <c r="AK103" s="196">
        <v>19266.32</v>
      </c>
      <c r="AL103" s="66"/>
      <c r="AM103" s="270">
        <v>905</v>
      </c>
      <c r="AN103" s="65">
        <v>1939</v>
      </c>
      <c r="AO103" s="65">
        <v>2198</v>
      </c>
      <c r="AP103" s="65">
        <v>3023</v>
      </c>
      <c r="AQ103" s="65">
        <v>7475</v>
      </c>
      <c r="AR103" s="196">
        <v>6955.84</v>
      </c>
      <c r="AS103" s="66"/>
      <c r="AT103" s="276">
        <f t="shared" si="26"/>
        <v>6.8978658536585372E-2</v>
      </c>
      <c r="AU103" s="67">
        <f t="shared" si="27"/>
        <v>0.14489612912868033</v>
      </c>
      <c r="AV103" s="67">
        <f t="shared" si="28"/>
        <v>0.16187951097363382</v>
      </c>
      <c r="AW103" s="67">
        <f t="shared" si="29"/>
        <v>0.20113107119095144</v>
      </c>
      <c r="AX103" s="67">
        <f t="shared" si="30"/>
        <v>0.452755905511811</v>
      </c>
      <c r="AY103" s="190">
        <f t="shared" si="51"/>
        <v>0.36103625393951727</v>
      </c>
      <c r="AZ103" s="68"/>
      <c r="BA103" s="276" t="s">
        <v>226</v>
      </c>
      <c r="BB103" s="69">
        <f t="shared" si="56"/>
        <v>7.5917470592094958</v>
      </c>
      <c r="BC103" s="69">
        <f t="shared" si="57"/>
        <v>9.2900852437048442</v>
      </c>
      <c r="BD103" s="69">
        <f t="shared" si="58"/>
        <v>13.215241265436607</v>
      </c>
      <c r="BE103" s="69">
        <f t="shared" si="59"/>
        <v>38.377724697522567</v>
      </c>
      <c r="BF103" s="199">
        <f t="shared" si="66"/>
        <v>29.20575954029319</v>
      </c>
      <c r="BG103" s="70"/>
      <c r="BH103" s="60" t="s">
        <v>226</v>
      </c>
      <c r="BI103" s="71">
        <f t="shared" si="60"/>
        <v>7.5917470592094958</v>
      </c>
      <c r="BJ103" s="71">
        <f t="shared" si="61"/>
        <v>1.6983381844953489</v>
      </c>
      <c r="BK103" s="71">
        <f t="shared" si="62"/>
        <v>3.9251560217317625</v>
      </c>
      <c r="BL103" s="71">
        <f t="shared" si="63"/>
        <v>25.162483432085956</v>
      </c>
      <c r="BM103" s="200">
        <f t="shared" si="67"/>
        <v>-9.1719651572293728</v>
      </c>
      <c r="BN103" s="72"/>
      <c r="BO103" s="276">
        <f t="shared" si="65"/>
        <v>0</v>
      </c>
      <c r="BP103" s="67">
        <f t="shared" si="65"/>
        <v>0</v>
      </c>
      <c r="BQ103" s="67">
        <f t="shared" si="65"/>
        <v>0</v>
      </c>
      <c r="BR103" s="190">
        <f>W103/P103</f>
        <v>0</v>
      </c>
      <c r="BS103" s="190"/>
      <c r="BT103" s="73"/>
      <c r="BU103" s="73"/>
    </row>
    <row r="104" spans="1:73" s="14" customFormat="1" x14ac:dyDescent="0.25">
      <c r="A104" s="13"/>
      <c r="B104" s="59" t="s">
        <v>344</v>
      </c>
      <c r="C104" s="60"/>
      <c r="D104" s="61"/>
      <c r="E104" s="61"/>
      <c r="F104" s="145">
        <v>1</v>
      </c>
      <c r="G104" s="62"/>
      <c r="H104" s="60"/>
      <c r="I104" s="61"/>
      <c r="J104" s="61"/>
      <c r="K104" s="145">
        <v>8</v>
      </c>
      <c r="L104" s="62"/>
      <c r="M104" s="60"/>
      <c r="N104" s="61"/>
      <c r="O104" s="61"/>
      <c r="P104" s="145">
        <v>4</v>
      </c>
      <c r="Q104" s="62"/>
      <c r="R104" s="60"/>
      <c r="S104" s="61"/>
      <c r="T104" s="61"/>
      <c r="U104" s="61"/>
      <c r="V104" s="61"/>
      <c r="W104" s="145">
        <v>0</v>
      </c>
      <c r="X104" s="62"/>
      <c r="Y104" s="60"/>
      <c r="Z104" s="61"/>
      <c r="AA104" s="61"/>
      <c r="AB104" s="145"/>
      <c r="AC104" s="61"/>
      <c r="AD104" s="152"/>
      <c r="AE104" s="64"/>
      <c r="AF104" s="270"/>
      <c r="AG104" s="65"/>
      <c r="AH104" s="65"/>
      <c r="AI104" s="65"/>
      <c r="AJ104" s="65"/>
      <c r="AK104" s="196">
        <v>977.52</v>
      </c>
      <c r="AL104" s="66"/>
      <c r="AM104" s="270"/>
      <c r="AN104" s="65"/>
      <c r="AO104" s="65"/>
      <c r="AP104" s="65"/>
      <c r="AQ104" s="65"/>
      <c r="AR104" s="196">
        <v>50.78</v>
      </c>
      <c r="AS104" s="66"/>
      <c r="AT104" s="276"/>
      <c r="AU104" s="67"/>
      <c r="AV104" s="67"/>
      <c r="AW104" s="67"/>
      <c r="AX104" s="67"/>
      <c r="AY104" s="190">
        <f t="shared" si="51"/>
        <v>5.1947786234552748E-2</v>
      </c>
      <c r="AZ104" s="68"/>
      <c r="BA104" s="276"/>
      <c r="BB104" s="69"/>
      <c r="BC104" s="69"/>
      <c r="BD104" s="69"/>
      <c r="BE104" s="69"/>
      <c r="BF104" s="199"/>
      <c r="BG104" s="70"/>
      <c r="BH104" s="60"/>
      <c r="BI104" s="71"/>
      <c r="BJ104" s="71"/>
      <c r="BK104" s="71"/>
      <c r="BL104" s="71"/>
      <c r="BM104" s="200"/>
      <c r="BN104" s="72"/>
      <c r="BO104" s="276"/>
      <c r="BP104" s="67"/>
      <c r="BQ104" s="67"/>
      <c r="BR104" s="190">
        <f>W104/P104</f>
        <v>0</v>
      </c>
      <c r="BS104" s="190"/>
      <c r="BT104" s="73"/>
      <c r="BU104" s="73"/>
    </row>
    <row r="105" spans="1:73" s="22" customFormat="1" x14ac:dyDescent="0.25">
      <c r="A105" s="13">
        <v>51</v>
      </c>
      <c r="B105" s="59" t="s">
        <v>28</v>
      </c>
      <c r="C105" s="60"/>
      <c r="D105" s="61">
        <v>20</v>
      </c>
      <c r="E105" s="61">
        <v>22</v>
      </c>
      <c r="F105" s="145"/>
      <c r="G105" s="62"/>
      <c r="H105" s="60">
        <v>339</v>
      </c>
      <c r="I105" s="61">
        <v>340</v>
      </c>
      <c r="J105" s="61">
        <v>331</v>
      </c>
      <c r="K105" s="145"/>
      <c r="L105" s="62"/>
      <c r="M105" s="60">
        <v>10</v>
      </c>
      <c r="N105" s="61">
        <v>28</v>
      </c>
      <c r="O105" s="61">
        <v>56</v>
      </c>
      <c r="P105" s="145"/>
      <c r="Q105" s="62"/>
      <c r="R105" s="60">
        <v>1</v>
      </c>
      <c r="S105" s="61">
        <v>3</v>
      </c>
      <c r="T105" s="61">
        <v>4</v>
      </c>
      <c r="U105" s="61">
        <v>0</v>
      </c>
      <c r="V105" s="61">
        <v>10</v>
      </c>
      <c r="W105" s="145"/>
      <c r="X105" s="62"/>
      <c r="Y105" s="85">
        <v>27.3</v>
      </c>
      <c r="Z105" s="63">
        <v>27.3</v>
      </c>
      <c r="AA105" s="61">
        <v>44.19</v>
      </c>
      <c r="AB105" s="145">
        <v>52.89</v>
      </c>
      <c r="AC105" s="61">
        <v>53.91</v>
      </c>
      <c r="AD105" s="152"/>
      <c r="AE105" s="64"/>
      <c r="AF105" s="270">
        <v>36774</v>
      </c>
      <c r="AG105" s="65">
        <v>80939</v>
      </c>
      <c r="AH105" s="65">
        <v>78207</v>
      </c>
      <c r="AI105" s="65">
        <v>108695</v>
      </c>
      <c r="AJ105" s="65">
        <v>92877</v>
      </c>
      <c r="AK105" s="196"/>
      <c r="AL105" s="66"/>
      <c r="AM105" s="270">
        <v>1926</v>
      </c>
      <c r="AN105" s="65">
        <v>3577</v>
      </c>
      <c r="AO105" s="65">
        <v>5222</v>
      </c>
      <c r="AP105" s="65">
        <v>6434</v>
      </c>
      <c r="AQ105" s="65">
        <v>20515</v>
      </c>
      <c r="AR105" s="196"/>
      <c r="AS105" s="66"/>
      <c r="AT105" s="276">
        <f>AM105/AF105</f>
        <v>5.2373959862946649E-2</v>
      </c>
      <c r="AU105" s="67">
        <f>AN105/AG105</f>
        <v>4.4193775559371873E-2</v>
      </c>
      <c r="AV105" s="67">
        <f>AO105/AH105</f>
        <v>6.6771516616159682E-2</v>
      </c>
      <c r="AW105" s="67">
        <f>AP105/AI105</f>
        <v>5.9193155158930956E-2</v>
      </c>
      <c r="AX105" s="67">
        <f>AQ105/AJ105</f>
        <v>0.22088353413654618</v>
      </c>
      <c r="AY105" s="190"/>
      <c r="AZ105" s="68"/>
      <c r="BA105" s="276" t="s">
        <v>226</v>
      </c>
      <c r="BB105" s="69">
        <f>(AU105-$AT105)*100</f>
        <v>-0.81801843035747768</v>
      </c>
      <c r="BC105" s="69">
        <f>(AV105-$AT105)*100</f>
        <v>1.4397556753213032</v>
      </c>
      <c r="BD105" s="69">
        <f>(AW105-$AT105)*100</f>
        <v>0.68191952959843061</v>
      </c>
      <c r="BE105" s="69">
        <f>(AX105-$AT105)*100</f>
        <v>16.850957427359951</v>
      </c>
      <c r="BF105" s="199">
        <f t="shared" si="66"/>
        <v>-5.2373959862946649</v>
      </c>
      <c r="BG105" s="70"/>
      <c r="BH105" s="60" t="s">
        <v>226</v>
      </c>
      <c r="BI105" s="71">
        <f>(AU105-AT105)*100</f>
        <v>-0.81801843035747768</v>
      </c>
      <c r="BJ105" s="71">
        <f>(AV105-AU105)*100</f>
        <v>2.2577741056787808</v>
      </c>
      <c r="BK105" s="71">
        <f>(AW105-AV105)*100</f>
        <v>-0.75783614572287261</v>
      </c>
      <c r="BL105" s="71">
        <f>(AX105-AW105)*100</f>
        <v>16.169037897761523</v>
      </c>
      <c r="BM105" s="200"/>
      <c r="BN105" s="72"/>
      <c r="BO105" s="276">
        <f>T105/M105</f>
        <v>0.4</v>
      </c>
      <c r="BP105" s="67">
        <f>U105/N105</f>
        <v>0</v>
      </c>
      <c r="BQ105" s="67">
        <f>V105/O105</f>
        <v>0.17857142857142858</v>
      </c>
      <c r="BR105" s="190"/>
      <c r="BS105" s="190"/>
      <c r="BT105" s="73"/>
      <c r="BU105" s="73"/>
    </row>
    <row r="106" spans="1:73" s="9" customFormat="1" x14ac:dyDescent="0.25">
      <c r="A106" s="12">
        <v>52</v>
      </c>
      <c r="B106" s="17" t="s">
        <v>346</v>
      </c>
      <c r="C106" s="2"/>
      <c r="D106" s="3"/>
      <c r="E106" s="3"/>
      <c r="F106" s="144">
        <v>4</v>
      </c>
      <c r="G106" s="4"/>
      <c r="H106" s="2"/>
      <c r="I106" s="3"/>
      <c r="J106" s="3"/>
      <c r="K106" s="144">
        <v>5461</v>
      </c>
      <c r="L106" s="4"/>
      <c r="M106" s="2"/>
      <c r="N106" s="3"/>
      <c r="O106" s="3"/>
      <c r="P106" s="144">
        <v>922</v>
      </c>
      <c r="Q106" s="4"/>
      <c r="R106" s="2"/>
      <c r="S106" s="3"/>
      <c r="T106" s="3"/>
      <c r="U106" s="3"/>
      <c r="V106" s="3"/>
      <c r="W106" s="144">
        <v>315</v>
      </c>
      <c r="X106" s="4"/>
      <c r="Y106" s="2"/>
      <c r="Z106" s="3"/>
      <c r="AA106" s="3"/>
      <c r="AB106" s="144"/>
      <c r="AC106" s="3"/>
      <c r="AD106" s="153">
        <v>44.55</v>
      </c>
      <c r="AE106" s="86"/>
      <c r="AF106" s="19"/>
      <c r="AG106" s="20"/>
      <c r="AH106" s="20"/>
      <c r="AI106" s="20"/>
      <c r="AJ106" s="20"/>
      <c r="AK106" s="210">
        <v>740672</v>
      </c>
      <c r="AL106" s="21"/>
      <c r="AM106" s="19"/>
      <c r="AN106" s="20"/>
      <c r="AO106" s="20"/>
      <c r="AP106" s="20"/>
      <c r="AQ106" s="20"/>
      <c r="AR106" s="210">
        <v>64239</v>
      </c>
      <c r="AS106" s="21"/>
      <c r="AT106" s="50"/>
      <c r="AU106" s="51"/>
      <c r="AV106" s="51"/>
      <c r="AW106" s="51"/>
      <c r="AX106" s="51"/>
      <c r="AY106" s="211">
        <f t="shared" si="51"/>
        <v>8.6730698608830897E-2</v>
      </c>
      <c r="AZ106" s="52"/>
      <c r="BA106" s="50" t="s">
        <v>226</v>
      </c>
      <c r="BB106" s="53"/>
      <c r="BC106" s="53"/>
      <c r="BD106" s="53"/>
      <c r="BE106" s="53"/>
      <c r="BF106" s="212">
        <f t="shared" si="66"/>
        <v>8.6730698608830892</v>
      </c>
      <c r="BG106" s="54"/>
      <c r="BH106" s="2" t="s">
        <v>226</v>
      </c>
      <c r="BI106" s="55"/>
      <c r="BJ106" s="55"/>
      <c r="BK106" s="55"/>
      <c r="BL106" s="55"/>
      <c r="BM106" s="213"/>
      <c r="BN106" s="56"/>
      <c r="BO106" s="50"/>
      <c r="BP106" s="51"/>
      <c r="BQ106" s="51"/>
      <c r="BR106" s="211">
        <f>W106/P106</f>
        <v>0.34164859002169196</v>
      </c>
      <c r="BS106" s="211"/>
      <c r="BT106" s="57"/>
      <c r="BU106" s="57"/>
    </row>
    <row r="107" spans="1:73" s="24" customFormat="1" x14ac:dyDescent="0.25">
      <c r="A107" s="12"/>
      <c r="B107" s="17" t="s">
        <v>303</v>
      </c>
      <c r="C107" s="2">
        <v>5</v>
      </c>
      <c r="D107" s="3">
        <v>5</v>
      </c>
      <c r="E107" s="3">
        <v>6</v>
      </c>
      <c r="F107" s="144">
        <v>75</v>
      </c>
      <c r="G107" s="4"/>
      <c r="H107" s="2">
        <v>1200</v>
      </c>
      <c r="I107" s="3">
        <v>1200</v>
      </c>
      <c r="J107" s="3">
        <v>1192</v>
      </c>
      <c r="K107" s="144">
        <v>0</v>
      </c>
      <c r="L107" s="4"/>
      <c r="M107" s="2"/>
      <c r="N107" s="3">
        <v>78</v>
      </c>
      <c r="O107" s="3">
        <v>61</v>
      </c>
      <c r="P107" s="144">
        <v>69</v>
      </c>
      <c r="Q107" s="4"/>
      <c r="R107" s="2"/>
      <c r="S107" s="3"/>
      <c r="T107" s="3"/>
      <c r="U107" s="3">
        <v>0</v>
      </c>
      <c r="V107" s="3">
        <v>17</v>
      </c>
      <c r="W107" s="144">
        <v>15</v>
      </c>
      <c r="X107" s="4"/>
      <c r="Y107" s="2">
        <v>28.98</v>
      </c>
      <c r="Z107" s="3">
        <v>30.95</v>
      </c>
      <c r="AA107" s="3">
        <v>40.409999999999997</v>
      </c>
      <c r="AB107" s="144">
        <v>40.82</v>
      </c>
      <c r="AC107" s="3">
        <v>42.15</v>
      </c>
      <c r="AD107" s="153">
        <v>42.96</v>
      </c>
      <c r="AE107" s="86"/>
      <c r="AF107" s="19">
        <v>394136</v>
      </c>
      <c r="AG107" s="20">
        <v>344759</v>
      </c>
      <c r="AH107" s="20">
        <v>439568</v>
      </c>
      <c r="AI107" s="20">
        <v>579318</v>
      </c>
      <c r="AJ107" s="20">
        <v>457257</v>
      </c>
      <c r="AK107" s="210">
        <v>500051.61</v>
      </c>
      <c r="AL107" s="21"/>
      <c r="AM107" s="19">
        <v>2339</v>
      </c>
      <c r="AN107" s="20">
        <v>-757</v>
      </c>
      <c r="AO107" s="20">
        <v>12264</v>
      </c>
      <c r="AP107" s="20">
        <v>32441</v>
      </c>
      <c r="AQ107" s="20">
        <v>-2434</v>
      </c>
      <c r="AR107" s="210">
        <v>13741.28</v>
      </c>
      <c r="AS107" s="21"/>
      <c r="AT107" s="50">
        <f>AM107/AF107</f>
        <v>5.9344997665780339E-3</v>
      </c>
      <c r="AU107" s="51">
        <f>AN107/AG107</f>
        <v>-2.1957367320360019E-3</v>
      </c>
      <c r="AV107" s="51">
        <f>AO107/AH107</f>
        <v>2.7900120117933972E-2</v>
      </c>
      <c r="AW107" s="51">
        <f>AP107/AI107</f>
        <v>5.599860525652578E-2</v>
      </c>
      <c r="AX107" s="51">
        <f>AQ107/AJ107</f>
        <v>-5.3230459019763506E-3</v>
      </c>
      <c r="AY107" s="211">
        <f t="shared" si="51"/>
        <v>2.7479723542935899E-2</v>
      </c>
      <c r="AZ107" s="52"/>
      <c r="BA107" s="50"/>
      <c r="BB107" s="53">
        <f>(AU107-$AT107)*100</f>
        <v>-0.81302364986140363</v>
      </c>
      <c r="BC107" s="53">
        <f>(AV107-$AT107)*100</f>
        <v>2.1965620351355941</v>
      </c>
      <c r="BD107" s="53">
        <f>(AW107-$AT107)*100</f>
        <v>5.0064105489947748</v>
      </c>
      <c r="BE107" s="53">
        <f>(AX107-$AT107)*100</f>
        <v>-1.1257545668554385</v>
      </c>
      <c r="BF107" s="212">
        <f t="shared" si="66"/>
        <v>2.1545223776357867</v>
      </c>
      <c r="BG107" s="54"/>
      <c r="BH107" s="2"/>
      <c r="BI107" s="55">
        <f>(AU107-AT107)*100</f>
        <v>-0.81302364986140363</v>
      </c>
      <c r="BJ107" s="55">
        <f>(AV107-AU107)*100</f>
        <v>3.0095856849969973</v>
      </c>
      <c r="BK107" s="55">
        <f>(AW107-AV107)*100</f>
        <v>2.8098485138591807</v>
      </c>
      <c r="BL107" s="55">
        <f>(AX107-AW107)*100</f>
        <v>-6.1321651158502135</v>
      </c>
      <c r="BM107" s="213">
        <f t="shared" si="67"/>
        <v>3.280276944491225</v>
      </c>
      <c r="BN107" s="56"/>
      <c r="BO107" s="50"/>
      <c r="BP107" s="51">
        <f t="shared" ref="BP107:BQ114" si="68">U107/N107</f>
        <v>0</v>
      </c>
      <c r="BQ107" s="51">
        <f t="shared" si="68"/>
        <v>0.27868852459016391</v>
      </c>
      <c r="BR107" s="211">
        <f>W107/P107</f>
        <v>0.21739130434782608</v>
      </c>
      <c r="BS107" s="211"/>
      <c r="BT107" s="57"/>
      <c r="BU107" s="57"/>
    </row>
    <row r="108" spans="1:73" s="14" customFormat="1" x14ac:dyDescent="0.25">
      <c r="A108" s="13"/>
      <c r="B108" s="59" t="s">
        <v>232</v>
      </c>
      <c r="C108" s="60">
        <v>7</v>
      </c>
      <c r="D108" s="61">
        <v>7</v>
      </c>
      <c r="E108" s="61">
        <v>7</v>
      </c>
      <c r="F108" s="145">
        <v>0</v>
      </c>
      <c r="G108" s="62"/>
      <c r="H108" s="60">
        <v>9</v>
      </c>
      <c r="I108" s="61">
        <v>9</v>
      </c>
      <c r="J108" s="61">
        <v>9</v>
      </c>
      <c r="K108" s="145">
        <v>99</v>
      </c>
      <c r="L108" s="62"/>
      <c r="M108" s="60">
        <v>16</v>
      </c>
      <c r="N108" s="61">
        <v>24</v>
      </c>
      <c r="O108" s="61">
        <v>31</v>
      </c>
      <c r="P108" s="145">
        <v>21</v>
      </c>
      <c r="Q108" s="62"/>
      <c r="R108" s="60">
        <v>3</v>
      </c>
      <c r="S108" s="61">
        <v>0</v>
      </c>
      <c r="T108" s="61">
        <v>0</v>
      </c>
      <c r="U108" s="61">
        <v>3</v>
      </c>
      <c r="V108" s="61">
        <v>6</v>
      </c>
      <c r="W108" s="145">
        <v>7</v>
      </c>
      <c r="X108" s="62"/>
      <c r="Y108" s="60">
        <v>20.94</v>
      </c>
      <c r="Z108" s="61">
        <v>29.03</v>
      </c>
      <c r="AA108" s="61">
        <v>41.44</v>
      </c>
      <c r="AB108" s="145">
        <v>41.44</v>
      </c>
      <c r="AC108" s="61">
        <v>29.95</v>
      </c>
      <c r="AD108" s="145">
        <v>29.95</v>
      </c>
      <c r="AE108" s="62"/>
      <c r="AF108" s="270">
        <v>31683</v>
      </c>
      <c r="AG108" s="65">
        <v>30450</v>
      </c>
      <c r="AH108" s="65">
        <v>38807</v>
      </c>
      <c r="AI108" s="65">
        <v>50021</v>
      </c>
      <c r="AJ108" s="65">
        <v>41189</v>
      </c>
      <c r="AK108" s="196"/>
      <c r="AL108" s="66"/>
      <c r="AM108" s="270">
        <v>830</v>
      </c>
      <c r="AN108" s="65">
        <v>1210</v>
      </c>
      <c r="AO108" s="65">
        <v>1567</v>
      </c>
      <c r="AP108" s="65">
        <v>6211</v>
      </c>
      <c r="AQ108" s="65">
        <v>5853</v>
      </c>
      <c r="AR108" s="196"/>
      <c r="AS108" s="66"/>
      <c r="AT108" s="276">
        <f t="shared" ref="AT108:AT171" si="69">AM108/AF108</f>
        <v>2.6197014171637788E-2</v>
      </c>
      <c r="AU108" s="67">
        <f t="shared" ref="AU108:AU171" si="70">AN108/AG108</f>
        <v>3.9737274220032842E-2</v>
      </c>
      <c r="AV108" s="67">
        <f t="shared" ref="AV108:AV171" si="71">AO108/AH108</f>
        <v>4.0379313010539333E-2</v>
      </c>
      <c r="AW108" s="67">
        <f t="shared" ref="AW108:AW171" si="72">AP108/AI108</f>
        <v>0.12416784950320865</v>
      </c>
      <c r="AX108" s="67">
        <f t="shared" ref="AX108:AX172" si="73">AQ108/AJ108</f>
        <v>0.14210104639588239</v>
      </c>
      <c r="AY108" s="190"/>
      <c r="AZ108" s="68"/>
      <c r="BA108" s="276" t="s">
        <v>226</v>
      </c>
      <c r="BB108" s="69">
        <f t="shared" si="56"/>
        <v>1.3540260048395054</v>
      </c>
      <c r="BC108" s="69">
        <f t="shared" si="57"/>
        <v>1.4182298838901546</v>
      </c>
      <c r="BD108" s="69">
        <f t="shared" si="58"/>
        <v>9.7970835331570854</v>
      </c>
      <c r="BE108" s="69">
        <f t="shared" si="59"/>
        <v>11.59040322242446</v>
      </c>
      <c r="BF108" s="199"/>
      <c r="BG108" s="70"/>
      <c r="BH108" s="60" t="s">
        <v>226</v>
      </c>
      <c r="BI108" s="71">
        <f t="shared" si="60"/>
        <v>1.3540260048395054</v>
      </c>
      <c r="BJ108" s="71">
        <f t="shared" si="61"/>
        <v>6.4203879050649115E-2</v>
      </c>
      <c r="BK108" s="71">
        <f t="shared" si="62"/>
        <v>8.3788536492669312</v>
      </c>
      <c r="BL108" s="71">
        <f t="shared" si="63"/>
        <v>1.793319689267374</v>
      </c>
      <c r="BM108" s="200"/>
      <c r="BN108" s="72"/>
      <c r="BO108" s="276">
        <f t="shared" ref="BO108:BO114" si="74">T108/M108</f>
        <v>0</v>
      </c>
      <c r="BP108" s="67">
        <f t="shared" si="68"/>
        <v>0.125</v>
      </c>
      <c r="BQ108" s="67">
        <f t="shared" si="68"/>
        <v>0.19354838709677419</v>
      </c>
      <c r="BR108" s="190"/>
      <c r="BS108" s="190"/>
      <c r="BT108" s="73"/>
      <c r="BU108" s="73"/>
    </row>
    <row r="109" spans="1:73" s="24" customFormat="1" x14ac:dyDescent="0.25">
      <c r="A109" s="12">
        <v>53</v>
      </c>
      <c r="B109" s="17" t="s">
        <v>29</v>
      </c>
      <c r="C109" s="2">
        <v>41</v>
      </c>
      <c r="D109" s="3">
        <v>41</v>
      </c>
      <c r="E109" s="3">
        <v>41</v>
      </c>
      <c r="F109" s="144">
        <v>41</v>
      </c>
      <c r="G109" s="4">
        <v>0</v>
      </c>
      <c r="H109" s="2">
        <v>3393</v>
      </c>
      <c r="I109" s="3">
        <v>3261</v>
      </c>
      <c r="J109" s="3">
        <v>3160</v>
      </c>
      <c r="K109" s="144">
        <v>2995</v>
      </c>
      <c r="L109" s="4">
        <v>1540</v>
      </c>
      <c r="M109" s="2">
        <v>1062</v>
      </c>
      <c r="N109" s="3">
        <v>1020</v>
      </c>
      <c r="O109" s="3">
        <v>990</v>
      </c>
      <c r="P109" s="144">
        <v>1006</v>
      </c>
      <c r="Q109" s="4">
        <v>1330</v>
      </c>
      <c r="R109" s="2">
        <v>2</v>
      </c>
      <c r="S109" s="3">
        <v>0</v>
      </c>
      <c r="T109" s="3">
        <v>0</v>
      </c>
      <c r="U109" s="3">
        <v>0</v>
      </c>
      <c r="V109" s="3">
        <v>1</v>
      </c>
      <c r="W109" s="144">
        <v>25</v>
      </c>
      <c r="X109" s="4">
        <v>7</v>
      </c>
      <c r="Y109" s="2" t="s">
        <v>167</v>
      </c>
      <c r="Z109" s="3" t="s">
        <v>87</v>
      </c>
      <c r="AA109" s="3"/>
      <c r="AB109" s="144"/>
      <c r="AC109" s="3"/>
      <c r="AD109" s="153">
        <v>42.29</v>
      </c>
      <c r="AE109" s="86">
        <v>44.88</v>
      </c>
      <c r="AF109" s="19"/>
      <c r="AG109" s="20"/>
      <c r="AH109" s="20"/>
      <c r="AI109" s="20"/>
      <c r="AJ109" s="20">
        <v>4316541</v>
      </c>
      <c r="AK109" s="210">
        <v>629736</v>
      </c>
      <c r="AL109" s="21">
        <v>692410.66</v>
      </c>
      <c r="AM109" s="19"/>
      <c r="AN109" s="20"/>
      <c r="AO109" s="20"/>
      <c r="AP109" s="20"/>
      <c r="AQ109" s="20">
        <v>135203</v>
      </c>
      <c r="AR109" s="210">
        <v>172518</v>
      </c>
      <c r="AS109" s="21">
        <v>250416.27</v>
      </c>
      <c r="AT109" s="50"/>
      <c r="AU109" s="51"/>
      <c r="AV109" s="51"/>
      <c r="AW109" s="51"/>
      <c r="AX109" s="51">
        <f>AQ109/AJ109</f>
        <v>3.1322070148296979E-2</v>
      </c>
      <c r="AY109" s="211">
        <f t="shared" si="51"/>
        <v>0.27395289454628607</v>
      </c>
      <c r="AZ109" s="52">
        <f t="shared" si="48"/>
        <v>0.36165860011456202</v>
      </c>
      <c r="BA109" s="50" t="s">
        <v>226</v>
      </c>
      <c r="BB109" s="53"/>
      <c r="BC109" s="53"/>
      <c r="BD109" s="53"/>
      <c r="BE109" s="53"/>
      <c r="BF109" s="212"/>
      <c r="BG109" s="54"/>
      <c r="BH109" s="2" t="s">
        <v>226</v>
      </c>
      <c r="BI109" s="55"/>
      <c r="BJ109" s="55"/>
      <c r="BK109" s="55"/>
      <c r="BL109" s="55"/>
      <c r="BM109" s="213">
        <f t="shared" si="67"/>
        <v>24.263082439798911</v>
      </c>
      <c r="BN109" s="56">
        <f t="shared" si="52"/>
        <v>8.7705705568275949</v>
      </c>
      <c r="BO109" s="50">
        <f t="shared" si="74"/>
        <v>0</v>
      </c>
      <c r="BP109" s="51">
        <f t="shared" si="68"/>
        <v>0</v>
      </c>
      <c r="BQ109" s="51">
        <f t="shared" si="68"/>
        <v>1.0101010101010101E-3</v>
      </c>
      <c r="BR109" s="211">
        <f>W109/P109</f>
        <v>2.4850894632206761E-2</v>
      </c>
      <c r="BS109" s="211">
        <f>X109/Q109</f>
        <v>5.263157894736842E-3</v>
      </c>
      <c r="BT109" s="57">
        <f t="shared" si="53"/>
        <v>6.1243792858831955E-2</v>
      </c>
      <c r="BU109" s="57">
        <f>(Q109-P109)/P109</f>
        <v>0.32206759443339961</v>
      </c>
    </row>
    <row r="110" spans="1:73" s="22" customFormat="1" x14ac:dyDescent="0.25">
      <c r="A110" s="13"/>
      <c r="B110" s="59" t="s">
        <v>317</v>
      </c>
      <c r="C110" s="60">
        <v>26</v>
      </c>
      <c r="D110" s="61">
        <v>25</v>
      </c>
      <c r="E110" s="61">
        <v>24</v>
      </c>
      <c r="F110" s="145">
        <v>0</v>
      </c>
      <c r="G110" s="62">
        <v>0</v>
      </c>
      <c r="H110" s="60">
        <v>110</v>
      </c>
      <c r="I110" s="61">
        <v>109</v>
      </c>
      <c r="J110" s="61">
        <v>107</v>
      </c>
      <c r="K110" s="145">
        <v>235</v>
      </c>
      <c r="L110" s="62">
        <v>235</v>
      </c>
      <c r="M110" s="60">
        <v>20</v>
      </c>
      <c r="N110" s="61">
        <v>25</v>
      </c>
      <c r="O110" s="61">
        <v>33</v>
      </c>
      <c r="P110" s="145">
        <v>28</v>
      </c>
      <c r="Q110" s="62">
        <v>30</v>
      </c>
      <c r="R110" s="60">
        <v>0</v>
      </c>
      <c r="S110" s="61">
        <v>1</v>
      </c>
      <c r="T110" s="61">
        <v>0</v>
      </c>
      <c r="U110" s="61">
        <v>0</v>
      </c>
      <c r="V110" s="61">
        <v>4</v>
      </c>
      <c r="W110" s="145">
        <v>12</v>
      </c>
      <c r="X110" s="62">
        <v>5</v>
      </c>
      <c r="Y110" s="60">
        <v>21.3</v>
      </c>
      <c r="Z110" s="61">
        <v>25.98</v>
      </c>
      <c r="AA110" s="61">
        <v>31.41</v>
      </c>
      <c r="AB110" s="145">
        <v>31.41</v>
      </c>
      <c r="AC110" s="61">
        <v>31.41</v>
      </c>
      <c r="AD110" s="152">
        <v>34.619999999999997</v>
      </c>
      <c r="AE110" s="152">
        <v>34.619999999999997</v>
      </c>
      <c r="AF110" s="270">
        <v>38510</v>
      </c>
      <c r="AG110" s="65">
        <v>54287</v>
      </c>
      <c r="AH110" s="65">
        <v>75981</v>
      </c>
      <c r="AI110" s="65">
        <v>81612</v>
      </c>
      <c r="AJ110" s="65">
        <v>83280</v>
      </c>
      <c r="AK110" s="196">
        <v>91289</v>
      </c>
      <c r="AL110" s="66">
        <v>95021</v>
      </c>
      <c r="AM110" s="270">
        <v>7220</v>
      </c>
      <c r="AN110" s="65">
        <v>9341</v>
      </c>
      <c r="AO110" s="65">
        <v>12559</v>
      </c>
      <c r="AP110" s="65">
        <v>15904</v>
      </c>
      <c r="AQ110" s="65">
        <v>21698</v>
      </c>
      <c r="AR110" s="196">
        <v>21537</v>
      </c>
      <c r="AS110" s="66">
        <v>21550</v>
      </c>
      <c r="AT110" s="276">
        <f>AM110/AF110</f>
        <v>0.18748377044923398</v>
      </c>
      <c r="AU110" s="67">
        <f>AN110/AG110</f>
        <v>0.1720669773610625</v>
      </c>
      <c r="AV110" s="67">
        <f>AO110/AH110</f>
        <v>0.16529132283070769</v>
      </c>
      <c r="AW110" s="67">
        <f>AP110/AI110</f>
        <v>0.19487330294564525</v>
      </c>
      <c r="AX110" s="67">
        <f>AQ110/AJ110</f>
        <v>0.26054274735830935</v>
      </c>
      <c r="AY110" s="190">
        <f t="shared" si="51"/>
        <v>0.23592108578251486</v>
      </c>
      <c r="AZ110" s="68">
        <f t="shared" si="48"/>
        <v>0.22679197230085982</v>
      </c>
      <c r="BA110" s="276" t="s">
        <v>226</v>
      </c>
      <c r="BB110" s="69">
        <f>(AU110-$AT110)*100</f>
        <v>-1.5416793088171481</v>
      </c>
      <c r="BC110" s="69">
        <f>(AV110-$AT110)*100</f>
        <v>-2.2192447618526288</v>
      </c>
      <c r="BD110" s="69">
        <f>(AW110-$AT110)*100</f>
        <v>0.73895324964112774</v>
      </c>
      <c r="BE110" s="69">
        <f>(AX110-$AT110)*100</f>
        <v>7.3058976909075373</v>
      </c>
      <c r="BF110" s="199">
        <f t="shared" si="66"/>
        <v>4.8437315333280884</v>
      </c>
      <c r="BG110" s="70">
        <f t="shared" si="49"/>
        <v>3.9308201851625841</v>
      </c>
      <c r="BH110" s="60" t="s">
        <v>226</v>
      </c>
      <c r="BI110" s="71">
        <f>(AU110-AT110)*100</f>
        <v>-1.5416793088171481</v>
      </c>
      <c r="BJ110" s="71">
        <f>(AV110-AU110)*100</f>
        <v>-0.67756545303548077</v>
      </c>
      <c r="BK110" s="71">
        <f>(AW110-AV110)*100</f>
        <v>2.9581980114937565</v>
      </c>
      <c r="BL110" s="71">
        <f>(AX110-AW110)*100</f>
        <v>6.5669444412664095</v>
      </c>
      <c r="BM110" s="200">
        <f t="shared" si="67"/>
        <v>-2.4621661575794485</v>
      </c>
      <c r="BN110" s="72">
        <f t="shared" si="52"/>
        <v>-0.91291134816550434</v>
      </c>
      <c r="BO110" s="276">
        <f t="shared" si="74"/>
        <v>0</v>
      </c>
      <c r="BP110" s="67">
        <f t="shared" si="68"/>
        <v>0</v>
      </c>
      <c r="BQ110" s="67">
        <f t="shared" si="68"/>
        <v>0.12121212121212122</v>
      </c>
      <c r="BR110" s="190">
        <f>W110/P110</f>
        <v>0.42857142857142855</v>
      </c>
      <c r="BS110" s="190">
        <f>X110/Q110</f>
        <v>0.16666666666666666</v>
      </c>
      <c r="BT110" s="73">
        <f t="shared" si="53"/>
        <v>0</v>
      </c>
      <c r="BU110" s="73">
        <f>(Q110-P110)/P110</f>
        <v>7.1428571428571425E-2</v>
      </c>
    </row>
    <row r="111" spans="1:73" s="22" customFormat="1" x14ac:dyDescent="0.25">
      <c r="A111" s="13"/>
      <c r="B111" s="59" t="s">
        <v>318</v>
      </c>
      <c r="C111" s="60">
        <v>5</v>
      </c>
      <c r="D111" s="61">
        <v>5</v>
      </c>
      <c r="E111" s="61">
        <v>5</v>
      </c>
      <c r="F111" s="145"/>
      <c r="G111" s="62"/>
      <c r="H111" s="60">
        <v>271</v>
      </c>
      <c r="I111" s="61">
        <v>265</v>
      </c>
      <c r="J111" s="61">
        <v>269</v>
      </c>
      <c r="K111" s="145"/>
      <c r="L111" s="62"/>
      <c r="M111" s="60">
        <v>75</v>
      </c>
      <c r="N111" s="61">
        <v>98</v>
      </c>
      <c r="O111" s="61">
        <v>124</v>
      </c>
      <c r="P111" s="145"/>
      <c r="Q111" s="62"/>
      <c r="R111" s="60">
        <v>0</v>
      </c>
      <c r="S111" s="61">
        <v>0</v>
      </c>
      <c r="T111" s="61">
        <v>0</v>
      </c>
      <c r="U111" s="61">
        <v>0</v>
      </c>
      <c r="V111" s="61">
        <v>2</v>
      </c>
      <c r="W111" s="145"/>
      <c r="X111" s="62"/>
      <c r="Y111" s="60" t="s">
        <v>89</v>
      </c>
      <c r="Z111" s="61" t="s">
        <v>89</v>
      </c>
      <c r="AA111" s="61" t="s">
        <v>104</v>
      </c>
      <c r="AB111" s="145" t="s">
        <v>104</v>
      </c>
      <c r="AC111" s="61" t="s">
        <v>104</v>
      </c>
      <c r="AD111" s="152"/>
      <c r="AE111" s="64"/>
      <c r="AF111" s="270"/>
      <c r="AG111" s="65"/>
      <c r="AH111" s="65"/>
      <c r="AI111" s="65"/>
      <c r="AJ111" s="65">
        <v>540611</v>
      </c>
      <c r="AK111" s="196"/>
      <c r="AL111" s="66"/>
      <c r="AM111" s="270"/>
      <c r="AN111" s="65"/>
      <c r="AO111" s="65"/>
      <c r="AP111" s="65"/>
      <c r="AQ111" s="65">
        <v>19899</v>
      </c>
      <c r="AR111" s="196"/>
      <c r="AS111" s="66"/>
      <c r="AT111" s="276"/>
      <c r="AU111" s="67"/>
      <c r="AV111" s="67"/>
      <c r="AW111" s="67"/>
      <c r="AX111" s="67">
        <f>AQ111/AJ111</f>
        <v>3.6808352031312719E-2</v>
      </c>
      <c r="AY111" s="190"/>
      <c r="AZ111" s="68"/>
      <c r="BA111" s="276"/>
      <c r="BB111" s="69"/>
      <c r="BC111" s="69"/>
      <c r="BD111" s="69"/>
      <c r="BE111" s="69"/>
      <c r="BF111" s="199"/>
      <c r="BG111" s="70"/>
      <c r="BH111" s="60"/>
      <c r="BI111" s="71"/>
      <c r="BJ111" s="71"/>
      <c r="BK111" s="71"/>
      <c r="BL111" s="71"/>
      <c r="BM111" s="200"/>
      <c r="BN111" s="72"/>
      <c r="BO111" s="276">
        <f t="shared" si="74"/>
        <v>0</v>
      </c>
      <c r="BP111" s="67">
        <f t="shared" si="68"/>
        <v>0</v>
      </c>
      <c r="BQ111" s="67">
        <f t="shared" si="68"/>
        <v>1.6129032258064516E-2</v>
      </c>
      <c r="BR111" s="190"/>
      <c r="BS111" s="190"/>
      <c r="BT111" s="73"/>
      <c r="BU111" s="73"/>
    </row>
    <row r="112" spans="1:73" s="22" customFormat="1" x14ac:dyDescent="0.25">
      <c r="A112" s="13">
        <v>54</v>
      </c>
      <c r="B112" s="59" t="s">
        <v>391</v>
      </c>
      <c r="C112" s="60">
        <v>0</v>
      </c>
      <c r="D112" s="61">
        <v>0</v>
      </c>
      <c r="E112" s="61">
        <v>10</v>
      </c>
      <c r="F112" s="145">
        <v>12</v>
      </c>
      <c r="G112" s="62">
        <v>12</v>
      </c>
      <c r="H112" s="60">
        <v>117</v>
      </c>
      <c r="I112" s="61">
        <v>373</v>
      </c>
      <c r="J112" s="61">
        <v>66</v>
      </c>
      <c r="K112" s="145">
        <v>24</v>
      </c>
      <c r="L112" s="62">
        <v>24</v>
      </c>
      <c r="M112" s="60">
        <v>34</v>
      </c>
      <c r="N112" s="61">
        <v>172</v>
      </c>
      <c r="O112" s="61">
        <v>123</v>
      </c>
      <c r="P112" s="145">
        <v>88</v>
      </c>
      <c r="Q112" s="62">
        <v>107</v>
      </c>
      <c r="R112" s="60">
        <v>0</v>
      </c>
      <c r="S112" s="61">
        <v>2</v>
      </c>
      <c r="T112" s="61">
        <v>3</v>
      </c>
      <c r="U112" s="61">
        <v>4</v>
      </c>
      <c r="V112" s="61">
        <v>0</v>
      </c>
      <c r="W112" s="145">
        <v>16</v>
      </c>
      <c r="X112" s="62">
        <v>25</v>
      </c>
      <c r="Y112" s="60" t="s">
        <v>80</v>
      </c>
      <c r="Z112" s="61" t="s">
        <v>81</v>
      </c>
      <c r="AA112" s="61" t="s">
        <v>82</v>
      </c>
      <c r="AB112" s="145" t="s">
        <v>83</v>
      </c>
      <c r="AC112" s="61" t="s">
        <v>83</v>
      </c>
      <c r="AD112" s="152">
        <v>38.090000000000003</v>
      </c>
      <c r="AE112" s="64">
        <v>41.85</v>
      </c>
      <c r="AF112" s="270"/>
      <c r="AG112" s="65"/>
      <c r="AH112" s="65">
        <v>46638</v>
      </c>
      <c r="AI112" s="65">
        <v>49853</v>
      </c>
      <c r="AJ112" s="65">
        <v>99861</v>
      </c>
      <c r="AK112" s="196">
        <v>103855.52</v>
      </c>
      <c r="AL112" s="66">
        <v>121957.47</v>
      </c>
      <c r="AM112" s="270"/>
      <c r="AN112" s="65"/>
      <c r="AO112" s="65">
        <v>2238</v>
      </c>
      <c r="AP112" s="65">
        <v>5339</v>
      </c>
      <c r="AQ112" s="65">
        <v>18393</v>
      </c>
      <c r="AR112" s="196">
        <v>25475.35</v>
      </c>
      <c r="AS112" s="66">
        <v>29266.49</v>
      </c>
      <c r="AT112" s="276"/>
      <c r="AU112" s="67"/>
      <c r="AV112" s="67">
        <f>AO112/AH112</f>
        <v>4.798662035250225E-2</v>
      </c>
      <c r="AW112" s="67">
        <f>AP112/AI112</f>
        <v>0.10709485888512225</v>
      </c>
      <c r="AX112" s="67">
        <f>AQ112/AJ112</f>
        <v>0.18418601856580646</v>
      </c>
      <c r="AY112" s="190">
        <f t="shared" si="51"/>
        <v>0.24529606129746398</v>
      </c>
      <c r="AZ112" s="68">
        <f t="shared" si="48"/>
        <v>0.23997291842803889</v>
      </c>
      <c r="BA112" s="276" t="s">
        <v>226</v>
      </c>
      <c r="BB112" s="69">
        <f t="shared" si="56"/>
        <v>0</v>
      </c>
      <c r="BC112" s="69">
        <f t="shared" si="57"/>
        <v>4.7986620352502252</v>
      </c>
      <c r="BD112" s="69">
        <f t="shared" si="58"/>
        <v>10.709485888512225</v>
      </c>
      <c r="BE112" s="69">
        <f t="shared" si="59"/>
        <v>18.418601856580647</v>
      </c>
      <c r="BF112" s="199">
        <f t="shared" si="66"/>
        <v>24.529606129746398</v>
      </c>
      <c r="BG112" s="70">
        <f t="shared" si="49"/>
        <v>23.997291842803889</v>
      </c>
      <c r="BH112" s="60" t="s">
        <v>226</v>
      </c>
      <c r="BI112" s="71">
        <f t="shared" si="60"/>
        <v>0</v>
      </c>
      <c r="BJ112" s="71">
        <f t="shared" si="61"/>
        <v>4.7986620352502252</v>
      </c>
      <c r="BK112" s="71">
        <f t="shared" si="62"/>
        <v>5.9108238532620003</v>
      </c>
      <c r="BL112" s="71">
        <f t="shared" si="63"/>
        <v>7.7091159680684207</v>
      </c>
      <c r="BM112" s="200">
        <f t="shared" si="67"/>
        <v>6.1110042731657517</v>
      </c>
      <c r="BN112" s="72">
        <f t="shared" si="52"/>
        <v>-0.53231428694250904</v>
      </c>
      <c r="BO112" s="276">
        <f t="shared" si="74"/>
        <v>8.8235294117647065E-2</v>
      </c>
      <c r="BP112" s="67">
        <f t="shared" si="68"/>
        <v>2.3255813953488372E-2</v>
      </c>
      <c r="BQ112" s="67">
        <f t="shared" si="68"/>
        <v>0</v>
      </c>
      <c r="BR112" s="190">
        <f>W112/P112</f>
        <v>0.18181818181818182</v>
      </c>
      <c r="BS112" s="190">
        <f>X112/Q112</f>
        <v>0.23364485981308411</v>
      </c>
      <c r="BT112" s="73">
        <f t="shared" si="53"/>
        <v>9.8713573116303424E-2</v>
      </c>
      <c r="BU112" s="73">
        <f>(Q112-P112)/P112</f>
        <v>0.21590909090909091</v>
      </c>
    </row>
    <row r="113" spans="1:73" s="9" customFormat="1" x14ac:dyDescent="0.25">
      <c r="A113" s="12">
        <v>55</v>
      </c>
      <c r="B113" s="17" t="s">
        <v>388</v>
      </c>
      <c r="C113" s="2">
        <v>64</v>
      </c>
      <c r="D113" s="3">
        <v>64</v>
      </c>
      <c r="E113" s="3">
        <v>64</v>
      </c>
      <c r="F113" s="144"/>
      <c r="G113" s="4">
        <v>3</v>
      </c>
      <c r="H113" s="2">
        <v>23</v>
      </c>
      <c r="I113" s="3">
        <v>21</v>
      </c>
      <c r="J113" s="3">
        <v>21</v>
      </c>
      <c r="K113" s="144"/>
      <c r="L113" s="4">
        <v>2076</v>
      </c>
      <c r="M113" s="2">
        <v>39</v>
      </c>
      <c r="N113" s="3">
        <v>120</v>
      </c>
      <c r="O113" s="3">
        <v>248</v>
      </c>
      <c r="P113" s="144"/>
      <c r="Q113" s="4">
        <v>237</v>
      </c>
      <c r="R113" s="2">
        <v>43</v>
      </c>
      <c r="S113" s="3">
        <v>10</v>
      </c>
      <c r="T113" s="3">
        <v>41</v>
      </c>
      <c r="U113" s="3">
        <v>77</v>
      </c>
      <c r="V113" s="3">
        <v>33</v>
      </c>
      <c r="W113" s="144"/>
      <c r="X113" s="4">
        <v>47</v>
      </c>
      <c r="Y113" s="2">
        <f>(25.35+23.41)/2</f>
        <v>24.380000000000003</v>
      </c>
      <c r="Z113" s="3">
        <f>(27.05+23.41)/2</f>
        <v>25.23</v>
      </c>
      <c r="AA113" s="3">
        <v>33.270000000000003</v>
      </c>
      <c r="AB113" s="144">
        <v>39.369999999999997</v>
      </c>
      <c r="AC113" s="3">
        <v>39.369999999999997</v>
      </c>
      <c r="AD113" s="153"/>
      <c r="AE113" s="86">
        <v>39.369999999999997</v>
      </c>
      <c r="AF113" s="19">
        <v>487093</v>
      </c>
      <c r="AG113" s="20">
        <v>440277</v>
      </c>
      <c r="AH113" s="20">
        <v>561892</v>
      </c>
      <c r="AI113" s="20">
        <v>717571</v>
      </c>
      <c r="AJ113" s="20">
        <v>796180</v>
      </c>
      <c r="AK113" s="210"/>
      <c r="AL113" s="21">
        <v>637791.48</v>
      </c>
      <c r="AM113" s="19">
        <v>31157</v>
      </c>
      <c r="AN113" s="20">
        <v>21580</v>
      </c>
      <c r="AO113" s="20">
        <v>26150</v>
      </c>
      <c r="AP113" s="20">
        <v>46562</v>
      </c>
      <c r="AQ113" s="20">
        <v>80026</v>
      </c>
      <c r="AR113" s="210"/>
      <c r="AS113" s="21">
        <v>86975</v>
      </c>
      <c r="AT113" s="50">
        <f t="shared" si="69"/>
        <v>6.3965197611133812E-2</v>
      </c>
      <c r="AU113" s="51">
        <f t="shared" si="70"/>
        <v>4.9014597628311271E-2</v>
      </c>
      <c r="AV113" s="51">
        <f t="shared" si="71"/>
        <v>4.6539192585051931E-2</v>
      </c>
      <c r="AW113" s="51">
        <f t="shared" si="72"/>
        <v>6.4888352511458802E-2</v>
      </c>
      <c r="AX113" s="51">
        <f t="shared" si="73"/>
        <v>0.10051244693411038</v>
      </c>
      <c r="AY113" s="211"/>
      <c r="AZ113" s="52">
        <f t="shared" si="48"/>
        <v>0.13636902142374183</v>
      </c>
      <c r="BA113" s="50" t="s">
        <v>226</v>
      </c>
      <c r="BB113" s="53">
        <f t="shared" si="56"/>
        <v>-1.4950599982822541</v>
      </c>
      <c r="BC113" s="53">
        <f t="shared" si="57"/>
        <v>-1.7426005026081881</v>
      </c>
      <c r="BD113" s="53">
        <f t="shared" si="58"/>
        <v>9.2315490032499059E-2</v>
      </c>
      <c r="BE113" s="53">
        <f t="shared" si="59"/>
        <v>3.6547249322976567</v>
      </c>
      <c r="BF113" s="212"/>
      <c r="BG113" s="54">
        <f t="shared" si="49"/>
        <v>7.240382381260801</v>
      </c>
      <c r="BH113" s="2" t="s">
        <v>226</v>
      </c>
      <c r="BI113" s="55">
        <f t="shared" si="60"/>
        <v>-1.4950599982822541</v>
      </c>
      <c r="BJ113" s="55">
        <f t="shared" si="61"/>
        <v>-0.24754050432593405</v>
      </c>
      <c r="BK113" s="55">
        <f t="shared" si="62"/>
        <v>1.8349159926406871</v>
      </c>
      <c r="BL113" s="55">
        <f t="shared" si="63"/>
        <v>3.5624094422651575</v>
      </c>
      <c r="BM113" s="213"/>
      <c r="BN113" s="56"/>
      <c r="BO113" s="50">
        <f t="shared" si="74"/>
        <v>1.0512820512820513</v>
      </c>
      <c r="BP113" s="51">
        <f t="shared" si="68"/>
        <v>0.64166666666666672</v>
      </c>
      <c r="BQ113" s="51">
        <f t="shared" si="68"/>
        <v>0.13306451612903225</v>
      </c>
      <c r="BR113" s="211"/>
      <c r="BS113" s="211">
        <f>X113/Q113</f>
        <v>0.19831223628691982</v>
      </c>
      <c r="BT113" s="57"/>
      <c r="BU113" s="57"/>
    </row>
    <row r="114" spans="1:73" s="9" customFormat="1" x14ac:dyDescent="0.25">
      <c r="A114" s="12">
        <v>56</v>
      </c>
      <c r="B114" s="17" t="s">
        <v>293</v>
      </c>
      <c r="C114" s="2">
        <v>1</v>
      </c>
      <c r="D114" s="3">
        <v>1</v>
      </c>
      <c r="E114" s="3">
        <v>1</v>
      </c>
      <c r="F114" s="144">
        <v>2</v>
      </c>
      <c r="G114" s="4">
        <v>2</v>
      </c>
      <c r="H114" s="2">
        <v>2622</v>
      </c>
      <c r="I114" s="3">
        <v>2622</v>
      </c>
      <c r="J114" s="3">
        <v>2622</v>
      </c>
      <c r="K114" s="144">
        <v>2583</v>
      </c>
      <c r="L114" s="4">
        <v>2583</v>
      </c>
      <c r="M114" s="2">
        <v>426</v>
      </c>
      <c r="N114" s="3">
        <v>662</v>
      </c>
      <c r="O114" s="3">
        <v>830</v>
      </c>
      <c r="P114" s="144">
        <v>924</v>
      </c>
      <c r="Q114" s="4">
        <v>803</v>
      </c>
      <c r="R114" s="2">
        <v>95</v>
      </c>
      <c r="S114" s="3">
        <v>78</v>
      </c>
      <c r="T114" s="3">
        <v>118</v>
      </c>
      <c r="U114" s="3">
        <v>229</v>
      </c>
      <c r="V114" s="3">
        <v>142</v>
      </c>
      <c r="W114" s="144">
        <v>173</v>
      </c>
      <c r="X114" s="4">
        <v>117</v>
      </c>
      <c r="Y114" s="5">
        <v>25.2</v>
      </c>
      <c r="Z114" s="49">
        <v>30.25</v>
      </c>
      <c r="AA114" s="49">
        <v>33.5</v>
      </c>
      <c r="AB114" s="153">
        <v>40.85</v>
      </c>
      <c r="AC114" s="49">
        <v>37.9</v>
      </c>
      <c r="AD114" s="153">
        <v>37.9</v>
      </c>
      <c r="AE114" s="86">
        <v>37.9</v>
      </c>
      <c r="AF114" s="19">
        <v>413214</v>
      </c>
      <c r="AG114" s="20">
        <v>367685</v>
      </c>
      <c r="AH114" s="20">
        <v>505693</v>
      </c>
      <c r="AI114" s="20">
        <v>674976</v>
      </c>
      <c r="AJ114" s="20">
        <v>725829</v>
      </c>
      <c r="AK114" s="210">
        <v>742023</v>
      </c>
      <c r="AL114" s="21">
        <v>692361</v>
      </c>
      <c r="AM114" s="19">
        <v>232980</v>
      </c>
      <c r="AN114" s="20">
        <v>187916</v>
      </c>
      <c r="AO114" s="20">
        <v>196543</v>
      </c>
      <c r="AP114" s="20">
        <v>255960</v>
      </c>
      <c r="AQ114" s="20">
        <v>339273</v>
      </c>
      <c r="AR114" s="210">
        <v>324846</v>
      </c>
      <c r="AS114" s="21">
        <v>301073</v>
      </c>
      <c r="AT114" s="50">
        <f t="shared" si="69"/>
        <v>0.56382407178846794</v>
      </c>
      <c r="AU114" s="51">
        <f t="shared" si="70"/>
        <v>0.51107877667024759</v>
      </c>
      <c r="AV114" s="51">
        <f t="shared" si="71"/>
        <v>0.38866070916544226</v>
      </c>
      <c r="AW114" s="51">
        <f t="shared" si="72"/>
        <v>0.3792134831460674</v>
      </c>
      <c r="AX114" s="51">
        <f t="shared" si="73"/>
        <v>0.46742827856147934</v>
      </c>
      <c r="AY114" s="211">
        <f t="shared" si="51"/>
        <v>0.43778427353330018</v>
      </c>
      <c r="AZ114" s="52">
        <f t="shared" si="48"/>
        <v>0.43484973879233524</v>
      </c>
      <c r="BA114" s="50" t="s">
        <v>226</v>
      </c>
      <c r="BB114" s="53">
        <f t="shared" si="56"/>
        <v>-5.2745295118220348</v>
      </c>
      <c r="BC114" s="53">
        <f t="shared" si="57"/>
        <v>-17.516336262302566</v>
      </c>
      <c r="BD114" s="53">
        <f t="shared" si="58"/>
        <v>-18.461058864240055</v>
      </c>
      <c r="BE114" s="53">
        <f t="shared" si="59"/>
        <v>-9.6395793226988609</v>
      </c>
      <c r="BF114" s="212">
        <f t="shared" si="66"/>
        <v>-12.603979825516776</v>
      </c>
      <c r="BG114" s="54">
        <f t="shared" si="49"/>
        <v>-12.897433299613271</v>
      </c>
      <c r="BH114" s="2" t="s">
        <v>226</v>
      </c>
      <c r="BI114" s="55">
        <f t="shared" si="60"/>
        <v>-5.2745295118220348</v>
      </c>
      <c r="BJ114" s="55">
        <f t="shared" si="61"/>
        <v>-12.241806750480533</v>
      </c>
      <c r="BK114" s="55">
        <f t="shared" si="62"/>
        <v>-0.94472260193748658</v>
      </c>
      <c r="BL114" s="55">
        <f t="shared" si="63"/>
        <v>8.8214795415411942</v>
      </c>
      <c r="BM114" s="213">
        <f t="shared" si="67"/>
        <v>-2.9644005028179157</v>
      </c>
      <c r="BN114" s="56">
        <f t="shared" si="52"/>
        <v>-0.29345347409649447</v>
      </c>
      <c r="BO114" s="50">
        <f t="shared" si="74"/>
        <v>0.27699530516431925</v>
      </c>
      <c r="BP114" s="51">
        <f t="shared" si="68"/>
        <v>0.34592145015105741</v>
      </c>
      <c r="BQ114" s="51">
        <f t="shared" si="68"/>
        <v>0.1710843373493976</v>
      </c>
      <c r="BR114" s="211">
        <f t="shared" ref="BR114:BR125" si="75">W114/P114</f>
        <v>0.18722943722943722</v>
      </c>
      <c r="BS114" s="211">
        <f>X114/Q114</f>
        <v>0.14570361145703611</v>
      </c>
      <c r="BT114" s="57">
        <f t="shared" si="53"/>
        <v>0</v>
      </c>
      <c r="BU114" s="57">
        <f>(Q114-P114)/P114</f>
        <v>-0.13095238095238096</v>
      </c>
    </row>
    <row r="115" spans="1:73" s="14" customFormat="1" x14ac:dyDescent="0.25">
      <c r="A115" s="13">
        <v>57</v>
      </c>
      <c r="B115" s="59" t="s">
        <v>30</v>
      </c>
      <c r="C115" s="60">
        <v>0</v>
      </c>
      <c r="D115" s="61">
        <v>0</v>
      </c>
      <c r="E115" s="61">
        <v>0</v>
      </c>
      <c r="F115" s="145">
        <v>0</v>
      </c>
      <c r="G115" s="62">
        <v>0</v>
      </c>
      <c r="H115" s="60">
        <v>181</v>
      </c>
      <c r="I115" s="61">
        <v>193</v>
      </c>
      <c r="J115" s="61">
        <v>193</v>
      </c>
      <c r="K115" s="145">
        <v>193</v>
      </c>
      <c r="L115" s="62">
        <v>193</v>
      </c>
      <c r="M115" s="60">
        <v>56</v>
      </c>
      <c r="N115" s="61">
        <v>69</v>
      </c>
      <c r="O115" s="61">
        <v>74</v>
      </c>
      <c r="P115" s="145">
        <v>76</v>
      </c>
      <c r="Q115" s="62">
        <v>74</v>
      </c>
      <c r="R115" s="60">
        <v>6</v>
      </c>
      <c r="S115" s="61"/>
      <c r="T115" s="61"/>
      <c r="U115" s="61"/>
      <c r="V115" s="61"/>
      <c r="W115" s="145">
        <v>0</v>
      </c>
      <c r="X115" s="62">
        <v>0</v>
      </c>
      <c r="Y115" s="60">
        <v>11.63</v>
      </c>
      <c r="Z115" s="61">
        <v>18.059999999999999</v>
      </c>
      <c r="AA115" s="61">
        <v>26.42</v>
      </c>
      <c r="AB115" s="145">
        <v>26.42</v>
      </c>
      <c r="AC115" s="61">
        <v>26.42</v>
      </c>
      <c r="AD115" s="145">
        <v>26.42</v>
      </c>
      <c r="AE115" s="145">
        <v>26.42</v>
      </c>
      <c r="AF115" s="270">
        <v>35172</v>
      </c>
      <c r="AG115" s="65">
        <v>34212</v>
      </c>
      <c r="AH115" s="65">
        <v>53168</v>
      </c>
      <c r="AI115" s="65">
        <v>66989</v>
      </c>
      <c r="AJ115" s="65">
        <v>70927</v>
      </c>
      <c r="AK115" s="196">
        <v>68886</v>
      </c>
      <c r="AL115" s="66">
        <v>67366.720000000001</v>
      </c>
      <c r="AM115" s="270">
        <v>10467</v>
      </c>
      <c r="AN115" s="65">
        <v>5068</v>
      </c>
      <c r="AO115" s="65">
        <v>15077</v>
      </c>
      <c r="AP115" s="65">
        <v>20385</v>
      </c>
      <c r="AQ115" s="65">
        <v>20412</v>
      </c>
      <c r="AR115" s="196">
        <v>17477</v>
      </c>
      <c r="AS115" s="66">
        <v>13785.84</v>
      </c>
      <c r="AT115" s="276">
        <f>AM115/AF115</f>
        <v>0.29759467758444219</v>
      </c>
      <c r="AU115" s="67">
        <f>AN115/AG115</f>
        <v>0.14813515725476442</v>
      </c>
      <c r="AV115" s="67">
        <f>AO115/AH115</f>
        <v>0.28357282575985554</v>
      </c>
      <c r="AW115" s="67">
        <f>AP115/AI115</f>
        <v>0.30430369165086807</v>
      </c>
      <c r="AX115" s="67">
        <f>AQ115/AJ115</f>
        <v>0.28778885332806969</v>
      </c>
      <c r="AY115" s="190">
        <f t="shared" si="51"/>
        <v>0.25370902650756322</v>
      </c>
      <c r="AZ115" s="68">
        <f t="shared" si="48"/>
        <v>0.20463872962792309</v>
      </c>
      <c r="BA115" s="276" t="s">
        <v>226</v>
      </c>
      <c r="BB115" s="69">
        <f>(AU115-$AT115)*100</f>
        <v>-14.945952032967776</v>
      </c>
      <c r="BC115" s="69">
        <f>(AV115-$AT115)*100</f>
        <v>-1.4021851824586651</v>
      </c>
      <c r="BD115" s="69">
        <f>(AW115-$AT115)*100</f>
        <v>0.67090140664258779</v>
      </c>
      <c r="BE115" s="69">
        <f>(AX115-$AT115)*100</f>
        <v>-0.98058242563724973</v>
      </c>
      <c r="BF115" s="199">
        <f t="shared" si="66"/>
        <v>-4.3885651076878975</v>
      </c>
      <c r="BG115" s="70">
        <f t="shared" si="49"/>
        <v>-9.29559479565191</v>
      </c>
      <c r="BH115" s="60">
        <f>-BV120</f>
        <v>0</v>
      </c>
      <c r="BI115" s="71">
        <f>(AU115-AT115)*100</f>
        <v>-14.945952032967776</v>
      </c>
      <c r="BJ115" s="71">
        <f>(AV115-AU115)*100</f>
        <v>13.543766850509112</v>
      </c>
      <c r="BK115" s="71">
        <f>(AW115-AV115)*100</f>
        <v>2.0730865891012531</v>
      </c>
      <c r="BL115" s="71">
        <f>(AX115-AW115)*100</f>
        <v>-1.6514838322798375</v>
      </c>
      <c r="BM115" s="200">
        <f t="shared" si="67"/>
        <v>-3.4079826820506476</v>
      </c>
      <c r="BN115" s="72">
        <f t="shared" si="52"/>
        <v>-4.9070296879640125</v>
      </c>
      <c r="BO115" s="276"/>
      <c r="BP115" s="67"/>
      <c r="BQ115" s="67"/>
      <c r="BR115" s="190">
        <f t="shared" si="75"/>
        <v>0</v>
      </c>
      <c r="BS115" s="190">
        <f>X115/Q115</f>
        <v>0</v>
      </c>
      <c r="BT115" s="73">
        <f t="shared" si="53"/>
        <v>0</v>
      </c>
      <c r="BU115" s="73">
        <f>(Q115-P115)/P115</f>
        <v>-2.6315789473684209E-2</v>
      </c>
    </row>
    <row r="116" spans="1:73" s="9" customFormat="1" x14ac:dyDescent="0.25">
      <c r="A116" s="12">
        <v>58</v>
      </c>
      <c r="B116" s="17" t="s">
        <v>217</v>
      </c>
      <c r="C116" s="2">
        <v>0</v>
      </c>
      <c r="D116" s="3">
        <v>0</v>
      </c>
      <c r="E116" s="3">
        <v>0</v>
      </c>
      <c r="F116" s="144">
        <v>0</v>
      </c>
      <c r="G116" s="4">
        <v>1</v>
      </c>
      <c r="H116" s="2">
        <v>2420</v>
      </c>
      <c r="I116" s="3">
        <v>2425</v>
      </c>
      <c r="J116" s="3">
        <v>2425</v>
      </c>
      <c r="K116" s="144">
        <v>2425</v>
      </c>
      <c r="L116" s="4">
        <v>2402</v>
      </c>
      <c r="M116" s="2">
        <v>772</v>
      </c>
      <c r="N116" s="3">
        <v>895</v>
      </c>
      <c r="O116" s="3">
        <v>1052</v>
      </c>
      <c r="P116" s="144">
        <v>1068</v>
      </c>
      <c r="Q116" s="4">
        <v>847</v>
      </c>
      <c r="R116" s="2">
        <v>28</v>
      </c>
      <c r="S116" s="3">
        <v>20</v>
      </c>
      <c r="T116" s="3">
        <v>16</v>
      </c>
      <c r="U116" s="3">
        <v>19</v>
      </c>
      <c r="V116" s="3">
        <v>11</v>
      </c>
      <c r="W116" s="144">
        <v>9</v>
      </c>
      <c r="X116" s="4">
        <v>24</v>
      </c>
      <c r="Y116" s="2">
        <v>32.22</v>
      </c>
      <c r="Z116" s="3">
        <v>24.91</v>
      </c>
      <c r="AA116" s="3">
        <v>34.75</v>
      </c>
      <c r="AB116" s="144">
        <v>34.75</v>
      </c>
      <c r="AC116" s="3">
        <v>34.75</v>
      </c>
      <c r="AD116" s="153">
        <v>36.25</v>
      </c>
      <c r="AE116" s="86">
        <v>36.25</v>
      </c>
      <c r="AF116" s="19">
        <v>436542</v>
      </c>
      <c r="AG116" s="20">
        <v>428958</v>
      </c>
      <c r="AH116" s="20">
        <v>601718</v>
      </c>
      <c r="AI116" s="20">
        <v>719406</v>
      </c>
      <c r="AJ116" s="20">
        <v>722733</v>
      </c>
      <c r="AK116" s="210">
        <v>709706</v>
      </c>
      <c r="AL116" s="21">
        <v>665527</v>
      </c>
      <c r="AM116" s="19">
        <v>97307</v>
      </c>
      <c r="AN116" s="20">
        <v>87201</v>
      </c>
      <c r="AO116" s="20">
        <v>107185</v>
      </c>
      <c r="AP116" s="20">
        <v>186368</v>
      </c>
      <c r="AQ116" s="20">
        <v>264782</v>
      </c>
      <c r="AR116" s="210">
        <v>265467</v>
      </c>
      <c r="AS116" s="21">
        <v>253618</v>
      </c>
      <c r="AT116" s="50">
        <f t="shared" si="69"/>
        <v>0.22290409628397725</v>
      </c>
      <c r="AU116" s="51">
        <f t="shared" si="70"/>
        <v>0.20328563635600688</v>
      </c>
      <c r="AV116" s="51">
        <f t="shared" si="71"/>
        <v>0.17813161647150327</v>
      </c>
      <c r="AW116" s="51">
        <f t="shared" si="72"/>
        <v>0.25905816743257631</v>
      </c>
      <c r="AX116" s="51">
        <f t="shared" si="73"/>
        <v>0.36636212819948721</v>
      </c>
      <c r="AY116" s="211">
        <f t="shared" si="51"/>
        <v>0.37405207226654419</v>
      </c>
      <c r="AZ116" s="52">
        <f t="shared" si="48"/>
        <v>0.38107845361645731</v>
      </c>
      <c r="BA116" s="50" t="s">
        <v>226</v>
      </c>
      <c r="BB116" s="53">
        <f t="shared" si="56"/>
        <v>-1.9618459927970373</v>
      </c>
      <c r="BC116" s="53">
        <f t="shared" si="57"/>
        <v>-4.4772479812473982</v>
      </c>
      <c r="BD116" s="53">
        <f t="shared" si="58"/>
        <v>3.6154071148599058</v>
      </c>
      <c r="BE116" s="53">
        <f t="shared" si="59"/>
        <v>14.345803191550996</v>
      </c>
      <c r="BF116" s="212">
        <f t="shared" si="66"/>
        <v>15.114797598256693</v>
      </c>
      <c r="BG116" s="54">
        <f t="shared" si="49"/>
        <v>15.817435733248006</v>
      </c>
      <c r="BH116" s="2" t="s">
        <v>226</v>
      </c>
      <c r="BI116" s="55">
        <f t="shared" si="60"/>
        <v>-1.9618459927970373</v>
      </c>
      <c r="BJ116" s="55">
        <f t="shared" si="61"/>
        <v>-2.5154019884503609</v>
      </c>
      <c r="BK116" s="55">
        <f t="shared" si="62"/>
        <v>8.092655096107304</v>
      </c>
      <c r="BL116" s="55">
        <f t="shared" si="63"/>
        <v>10.73039607669109</v>
      </c>
      <c r="BM116" s="213">
        <f t="shared" si="67"/>
        <v>0.76899440670569752</v>
      </c>
      <c r="BN116" s="56">
        <f t="shared" si="52"/>
        <v>0.70263813499131245</v>
      </c>
      <c r="BO116" s="50">
        <f>T116/M116</f>
        <v>2.072538860103627E-2</v>
      </c>
      <c r="BP116" s="51">
        <f>U116/N116</f>
        <v>2.1229050279329607E-2</v>
      </c>
      <c r="BQ116" s="51">
        <f>V116/O116</f>
        <v>1.0456273764258554E-2</v>
      </c>
      <c r="BR116" s="211">
        <f t="shared" si="75"/>
        <v>8.4269662921348312E-3</v>
      </c>
      <c r="BS116" s="211">
        <f>X116/Q116</f>
        <v>2.833530106257379E-2</v>
      </c>
      <c r="BT116" s="57">
        <f t="shared" si="53"/>
        <v>0</v>
      </c>
      <c r="BU116" s="57">
        <f>(Q116-P116)/P116</f>
        <v>-0.20692883895131087</v>
      </c>
    </row>
    <row r="117" spans="1:73" s="14" customFormat="1" x14ac:dyDescent="0.25">
      <c r="A117" s="13"/>
      <c r="B117" s="59" t="s">
        <v>210</v>
      </c>
      <c r="C117" s="60">
        <v>0</v>
      </c>
      <c r="D117" s="61">
        <v>0</v>
      </c>
      <c r="E117" s="61">
        <v>0</v>
      </c>
      <c r="F117" s="145">
        <v>0</v>
      </c>
      <c r="G117" s="62"/>
      <c r="H117" s="60">
        <v>0</v>
      </c>
      <c r="I117" s="61">
        <v>58</v>
      </c>
      <c r="J117" s="61">
        <v>56</v>
      </c>
      <c r="K117" s="145">
        <v>52</v>
      </c>
      <c r="L117" s="62"/>
      <c r="M117" s="60">
        <v>0</v>
      </c>
      <c r="N117" s="61">
        <v>16</v>
      </c>
      <c r="O117" s="61">
        <v>19</v>
      </c>
      <c r="P117" s="145">
        <v>16</v>
      </c>
      <c r="Q117" s="62"/>
      <c r="R117" s="60"/>
      <c r="S117" s="61"/>
      <c r="T117" s="61"/>
      <c r="U117" s="61"/>
      <c r="V117" s="61"/>
      <c r="W117" s="145">
        <v>0</v>
      </c>
      <c r="X117" s="62"/>
      <c r="Y117" s="60"/>
      <c r="Z117" s="61"/>
      <c r="AA117" s="61" t="s">
        <v>92</v>
      </c>
      <c r="AB117" s="145" t="s">
        <v>92</v>
      </c>
      <c r="AC117" s="61" t="s">
        <v>92</v>
      </c>
      <c r="AD117" s="145" t="s">
        <v>92</v>
      </c>
      <c r="AE117" s="62"/>
      <c r="AF117" s="270"/>
      <c r="AG117" s="65"/>
      <c r="AH117" s="65"/>
      <c r="AI117" s="65"/>
      <c r="AJ117" s="65">
        <v>10661</v>
      </c>
      <c r="AK117" s="196">
        <v>11039</v>
      </c>
      <c r="AL117" s="66"/>
      <c r="AM117" s="270"/>
      <c r="AN117" s="65"/>
      <c r="AO117" s="65"/>
      <c r="AP117" s="65"/>
      <c r="AQ117" s="65">
        <v>4089</v>
      </c>
      <c r="AR117" s="196">
        <v>1755</v>
      </c>
      <c r="AS117" s="66"/>
      <c r="AT117" s="276"/>
      <c r="AU117" s="67"/>
      <c r="AV117" s="67"/>
      <c r="AW117" s="67"/>
      <c r="AX117" s="67">
        <f t="shared" si="73"/>
        <v>0.3835475096144827</v>
      </c>
      <c r="AY117" s="190">
        <f t="shared" si="51"/>
        <v>0.15898179182897001</v>
      </c>
      <c r="AZ117" s="68"/>
      <c r="BA117" s="276" t="s">
        <v>226</v>
      </c>
      <c r="BB117" s="69"/>
      <c r="BC117" s="69"/>
      <c r="BD117" s="69"/>
      <c r="BE117" s="69"/>
      <c r="BF117" s="199"/>
      <c r="BG117" s="70"/>
      <c r="BH117" s="60" t="s">
        <v>226</v>
      </c>
      <c r="BI117" s="71"/>
      <c r="BJ117" s="71"/>
      <c r="BK117" s="71"/>
      <c r="BL117" s="71"/>
      <c r="BM117" s="200"/>
      <c r="BN117" s="72"/>
      <c r="BO117" s="276"/>
      <c r="BP117" s="67">
        <f t="shared" ref="BP117:BP128" si="76">U117/N117</f>
        <v>0</v>
      </c>
      <c r="BQ117" s="67">
        <f t="shared" ref="BQ117:BQ128" si="77">V117/O117</f>
        <v>0</v>
      </c>
      <c r="BR117" s="190">
        <f t="shared" si="75"/>
        <v>0</v>
      </c>
      <c r="BS117" s="190"/>
      <c r="BT117" s="73"/>
      <c r="BU117" s="73"/>
    </row>
    <row r="118" spans="1:73" s="11" customFormat="1" x14ac:dyDescent="0.25">
      <c r="A118" s="10"/>
      <c r="B118" s="33" t="s">
        <v>259</v>
      </c>
      <c r="C118" s="34">
        <v>0</v>
      </c>
      <c r="D118" s="35">
        <v>0</v>
      </c>
      <c r="E118" s="35">
        <v>0</v>
      </c>
      <c r="F118" s="93">
        <v>0</v>
      </c>
      <c r="G118" s="36"/>
      <c r="H118" s="34">
        <v>0</v>
      </c>
      <c r="I118" s="35">
        <v>45</v>
      </c>
      <c r="J118" s="35">
        <v>45</v>
      </c>
      <c r="K118" s="93">
        <v>45</v>
      </c>
      <c r="L118" s="36"/>
      <c r="M118" s="34">
        <v>0</v>
      </c>
      <c r="N118" s="35">
        <v>17</v>
      </c>
      <c r="O118" s="35">
        <v>26</v>
      </c>
      <c r="P118" s="93">
        <v>18</v>
      </c>
      <c r="Q118" s="36"/>
      <c r="R118" s="34">
        <v>0</v>
      </c>
      <c r="S118" s="35">
        <v>0</v>
      </c>
      <c r="T118" s="35">
        <v>0</v>
      </c>
      <c r="U118" s="35">
        <v>0</v>
      </c>
      <c r="V118" s="35">
        <v>0</v>
      </c>
      <c r="W118" s="93">
        <v>0</v>
      </c>
      <c r="X118" s="36"/>
      <c r="Y118" s="34"/>
      <c r="Z118" s="35"/>
      <c r="AA118" s="35"/>
      <c r="AB118" s="93" t="s">
        <v>126</v>
      </c>
      <c r="AC118" s="35" t="s">
        <v>126</v>
      </c>
      <c r="AD118" s="93" t="s">
        <v>126</v>
      </c>
      <c r="AE118" s="36"/>
      <c r="AF118" s="38"/>
      <c r="AG118" s="39"/>
      <c r="AH118" s="39"/>
      <c r="AI118" s="39"/>
      <c r="AJ118" s="39">
        <v>6099</v>
      </c>
      <c r="AK118" s="182">
        <v>6151</v>
      </c>
      <c r="AL118" s="40"/>
      <c r="AM118" s="38"/>
      <c r="AN118" s="39"/>
      <c r="AO118" s="39"/>
      <c r="AP118" s="39"/>
      <c r="AQ118" s="39">
        <v>3387</v>
      </c>
      <c r="AR118" s="182">
        <v>1664</v>
      </c>
      <c r="AS118" s="40"/>
      <c r="AT118" s="41"/>
      <c r="AU118" s="42"/>
      <c r="AV118" s="42"/>
      <c r="AW118" s="42"/>
      <c r="AX118" s="42">
        <f t="shared" si="73"/>
        <v>0.55533694048204618</v>
      </c>
      <c r="AY118" s="183">
        <f t="shared" si="51"/>
        <v>0.2705251178670135</v>
      </c>
      <c r="AZ118" s="43"/>
      <c r="BA118" s="41" t="s">
        <v>226</v>
      </c>
      <c r="BB118" s="44"/>
      <c r="BC118" s="44"/>
      <c r="BD118" s="44"/>
      <c r="BE118" s="44"/>
      <c r="BF118" s="184"/>
      <c r="BG118" s="45"/>
      <c r="BH118" s="34" t="s">
        <v>226</v>
      </c>
      <c r="BI118" s="46"/>
      <c r="BJ118" s="46"/>
      <c r="BK118" s="46"/>
      <c r="BL118" s="46"/>
      <c r="BM118" s="185"/>
      <c r="BN118" s="47"/>
      <c r="BO118" s="41"/>
      <c r="BP118" s="42">
        <f t="shared" si="76"/>
        <v>0</v>
      </c>
      <c r="BQ118" s="42">
        <f t="shared" si="77"/>
        <v>0</v>
      </c>
      <c r="BR118" s="183">
        <f t="shared" si="75"/>
        <v>0</v>
      </c>
      <c r="BS118" s="183"/>
      <c r="BT118" s="48"/>
      <c r="BU118" s="48"/>
    </row>
    <row r="119" spans="1:73" s="9" customFormat="1" x14ac:dyDescent="0.25">
      <c r="A119" s="12">
        <v>59</v>
      </c>
      <c r="B119" s="17" t="s">
        <v>208</v>
      </c>
      <c r="C119" s="2">
        <v>2</v>
      </c>
      <c r="D119" s="3">
        <v>2</v>
      </c>
      <c r="E119" s="3">
        <v>2</v>
      </c>
      <c r="F119" s="144">
        <v>3</v>
      </c>
      <c r="G119" s="4">
        <v>2</v>
      </c>
      <c r="H119" s="2">
        <v>2146</v>
      </c>
      <c r="I119" s="3">
        <v>2155</v>
      </c>
      <c r="J119" s="3">
        <v>2155</v>
      </c>
      <c r="K119" s="144">
        <v>2156</v>
      </c>
      <c r="L119" s="4">
        <v>2078</v>
      </c>
      <c r="M119" s="2">
        <v>376</v>
      </c>
      <c r="N119" s="3">
        <v>431</v>
      </c>
      <c r="O119" s="3">
        <v>510</v>
      </c>
      <c r="P119" s="144">
        <v>425</v>
      </c>
      <c r="Q119" s="4">
        <v>421</v>
      </c>
      <c r="R119" s="2">
        <v>25</v>
      </c>
      <c r="S119" s="3">
        <v>16</v>
      </c>
      <c r="T119" s="3">
        <v>18</v>
      </c>
      <c r="U119" s="3">
        <v>28</v>
      </c>
      <c r="V119" s="3">
        <v>77</v>
      </c>
      <c r="W119" s="144">
        <v>72</v>
      </c>
      <c r="X119" s="4">
        <v>33</v>
      </c>
      <c r="Y119" s="2">
        <v>24.34</v>
      </c>
      <c r="Z119" s="3">
        <v>28.32</v>
      </c>
      <c r="AA119" s="3">
        <v>35.619999999999997</v>
      </c>
      <c r="AB119" s="144">
        <v>35.619999999999997</v>
      </c>
      <c r="AC119" s="3">
        <v>35.619999999999997</v>
      </c>
      <c r="AD119" s="144">
        <v>35.619999999999997</v>
      </c>
      <c r="AE119" s="144">
        <v>35.619999999999997</v>
      </c>
      <c r="AF119" s="19">
        <v>468215</v>
      </c>
      <c r="AG119" s="20">
        <v>472389</v>
      </c>
      <c r="AH119" s="20">
        <v>572653</v>
      </c>
      <c r="AI119" s="20">
        <v>740269</v>
      </c>
      <c r="AJ119" s="20">
        <v>773798</v>
      </c>
      <c r="AK119" s="210">
        <v>766724</v>
      </c>
      <c r="AL119" s="21">
        <v>710557.91</v>
      </c>
      <c r="AM119" s="19">
        <v>44348</v>
      </c>
      <c r="AN119" s="20">
        <v>51515</v>
      </c>
      <c r="AO119" s="20">
        <v>78022</v>
      </c>
      <c r="AP119" s="20">
        <v>142106</v>
      </c>
      <c r="AQ119" s="20">
        <v>179639</v>
      </c>
      <c r="AR119" s="210">
        <v>200808</v>
      </c>
      <c r="AS119" s="21">
        <v>175352.78</v>
      </c>
      <c r="AT119" s="50">
        <f t="shared" si="69"/>
        <v>9.4717170530632291E-2</v>
      </c>
      <c r="AU119" s="51">
        <f t="shared" si="70"/>
        <v>0.10905207360882663</v>
      </c>
      <c r="AV119" s="51">
        <f t="shared" si="71"/>
        <v>0.13624655768851293</v>
      </c>
      <c r="AW119" s="51">
        <f t="shared" si="72"/>
        <v>0.19196535313514412</v>
      </c>
      <c r="AX119" s="51">
        <f t="shared" si="73"/>
        <v>0.23215231882222492</v>
      </c>
      <c r="AY119" s="211">
        <f t="shared" si="51"/>
        <v>0.26190389240456802</v>
      </c>
      <c r="AZ119" s="52">
        <f t="shared" si="48"/>
        <v>0.24678182809899335</v>
      </c>
      <c r="BA119" s="50" t="s">
        <v>226</v>
      </c>
      <c r="BB119" s="53">
        <f t="shared" si="56"/>
        <v>1.4334903078194337</v>
      </c>
      <c r="BC119" s="53">
        <f t="shared" si="57"/>
        <v>4.1529387157880642</v>
      </c>
      <c r="BD119" s="53">
        <f t="shared" si="58"/>
        <v>9.7248182604511832</v>
      </c>
      <c r="BE119" s="53">
        <f t="shared" si="59"/>
        <v>13.743514829159265</v>
      </c>
      <c r="BF119" s="212">
        <f t="shared" si="66"/>
        <v>16.718672187393572</v>
      </c>
      <c r="BG119" s="54">
        <f t="shared" si="49"/>
        <v>15.206465756836106</v>
      </c>
      <c r="BH119" s="2" t="s">
        <v>226</v>
      </c>
      <c r="BI119" s="55">
        <f t="shared" si="60"/>
        <v>1.4334903078194337</v>
      </c>
      <c r="BJ119" s="55">
        <f t="shared" si="61"/>
        <v>2.7194484079686303</v>
      </c>
      <c r="BK119" s="55">
        <f t="shared" si="62"/>
        <v>5.5718795446631191</v>
      </c>
      <c r="BL119" s="55">
        <f t="shared" si="63"/>
        <v>4.01869656870808</v>
      </c>
      <c r="BM119" s="213">
        <f t="shared" si="67"/>
        <v>2.9751573582343092</v>
      </c>
      <c r="BN119" s="56">
        <f t="shared" si="52"/>
        <v>-1.5122064305574667</v>
      </c>
      <c r="BO119" s="50">
        <f t="shared" ref="BO119:BO128" si="78">T119/M119</f>
        <v>4.7872340425531915E-2</v>
      </c>
      <c r="BP119" s="51">
        <f t="shared" si="76"/>
        <v>6.4965197215777259E-2</v>
      </c>
      <c r="BQ119" s="51">
        <f t="shared" si="77"/>
        <v>0.15098039215686274</v>
      </c>
      <c r="BR119" s="211">
        <f t="shared" si="75"/>
        <v>0.16941176470588235</v>
      </c>
      <c r="BS119" s="211">
        <f t="shared" ref="BS119:BS125" si="79">X119/Q119</f>
        <v>7.8384798099762468E-2</v>
      </c>
      <c r="BT119" s="57">
        <f t="shared" si="53"/>
        <v>0</v>
      </c>
      <c r="BU119" s="57">
        <f t="shared" ref="BU119:BU125" si="80">(Q119-P119)/P119</f>
        <v>-9.4117647058823521E-3</v>
      </c>
    </row>
    <row r="120" spans="1:73" s="14" customFormat="1" x14ac:dyDescent="0.25">
      <c r="A120" s="13"/>
      <c r="B120" s="59" t="s">
        <v>260</v>
      </c>
      <c r="C120" s="60">
        <v>1</v>
      </c>
      <c r="D120" s="61">
        <v>1</v>
      </c>
      <c r="E120" s="61">
        <v>1</v>
      </c>
      <c r="F120" s="145">
        <v>0</v>
      </c>
      <c r="G120" s="62">
        <v>0</v>
      </c>
      <c r="H120" s="60">
        <v>130</v>
      </c>
      <c r="I120" s="61">
        <v>130</v>
      </c>
      <c r="J120" s="61">
        <v>130</v>
      </c>
      <c r="K120" s="145">
        <v>118</v>
      </c>
      <c r="L120" s="62">
        <v>118</v>
      </c>
      <c r="M120" s="60">
        <v>12</v>
      </c>
      <c r="N120" s="61">
        <v>19</v>
      </c>
      <c r="O120" s="61">
        <v>25</v>
      </c>
      <c r="P120" s="145">
        <v>35</v>
      </c>
      <c r="Q120" s="62">
        <v>44</v>
      </c>
      <c r="R120" s="60">
        <v>0</v>
      </c>
      <c r="S120" s="61">
        <v>2</v>
      </c>
      <c r="T120" s="61">
        <v>6</v>
      </c>
      <c r="U120" s="61">
        <v>13</v>
      </c>
      <c r="V120" s="61">
        <v>3</v>
      </c>
      <c r="W120" s="145">
        <v>10</v>
      </c>
      <c r="X120" s="62">
        <v>8</v>
      </c>
      <c r="Y120" s="60"/>
      <c r="Z120" s="61">
        <v>22.79</v>
      </c>
      <c r="AA120" s="61">
        <v>26.82</v>
      </c>
      <c r="AB120" s="145">
        <v>28.82</v>
      </c>
      <c r="AC120" s="61">
        <v>28.82</v>
      </c>
      <c r="AD120" s="145">
        <v>28.82</v>
      </c>
      <c r="AE120" s="145">
        <v>28.82</v>
      </c>
      <c r="AF120" s="270">
        <v>26308</v>
      </c>
      <c r="AG120" s="65">
        <v>27853</v>
      </c>
      <c r="AH120" s="65">
        <v>35369</v>
      </c>
      <c r="AI120" s="65">
        <v>34736</v>
      </c>
      <c r="AJ120" s="65">
        <v>37025</v>
      </c>
      <c r="AK120" s="196">
        <v>43572</v>
      </c>
      <c r="AL120" s="66">
        <v>38432</v>
      </c>
      <c r="AM120" s="270">
        <v>661</v>
      </c>
      <c r="AN120" s="65">
        <v>436</v>
      </c>
      <c r="AO120" s="65">
        <v>686</v>
      </c>
      <c r="AP120" s="65">
        <v>2057</v>
      </c>
      <c r="AQ120" s="65">
        <v>3391</v>
      </c>
      <c r="AR120" s="196">
        <v>7616</v>
      </c>
      <c r="AS120" s="66">
        <v>5257</v>
      </c>
      <c r="AT120" s="276">
        <f t="shared" si="69"/>
        <v>2.5125437129390301E-2</v>
      </c>
      <c r="AU120" s="67">
        <f t="shared" si="70"/>
        <v>1.5653610024054861E-2</v>
      </c>
      <c r="AV120" s="67">
        <f t="shared" si="71"/>
        <v>1.9395515847210835E-2</v>
      </c>
      <c r="AW120" s="67">
        <f t="shared" si="72"/>
        <v>5.921810225702441E-2</v>
      </c>
      <c r="AX120" s="67">
        <f t="shared" si="73"/>
        <v>9.1586765698852129E-2</v>
      </c>
      <c r="AY120" s="190">
        <f t="shared" si="51"/>
        <v>0.17479115027999634</v>
      </c>
      <c r="AZ120" s="68">
        <f t="shared" si="48"/>
        <v>0.13678705245628642</v>
      </c>
      <c r="BA120" s="276" t="s">
        <v>226</v>
      </c>
      <c r="BB120" s="69">
        <f t="shared" si="56"/>
        <v>-0.94718271053354408</v>
      </c>
      <c r="BC120" s="69">
        <f t="shared" si="57"/>
        <v>-0.57299212821794665</v>
      </c>
      <c r="BD120" s="69">
        <f t="shared" si="58"/>
        <v>3.4092665127634105</v>
      </c>
      <c r="BE120" s="69">
        <f t="shared" si="59"/>
        <v>6.6461328569461822</v>
      </c>
      <c r="BF120" s="199">
        <f t="shared" si="66"/>
        <v>14.966571315060603</v>
      </c>
      <c r="BG120" s="70">
        <f t="shared" si="49"/>
        <v>11.16616153268961</v>
      </c>
      <c r="BH120" s="60" t="s">
        <v>226</v>
      </c>
      <c r="BI120" s="71">
        <f t="shared" si="60"/>
        <v>-0.94718271053354408</v>
      </c>
      <c r="BJ120" s="71">
        <f t="shared" si="61"/>
        <v>0.37419058231559743</v>
      </c>
      <c r="BK120" s="71">
        <f t="shared" si="62"/>
        <v>3.9822586409813581</v>
      </c>
      <c r="BL120" s="71">
        <f t="shared" si="63"/>
        <v>3.2368663441827721</v>
      </c>
      <c r="BM120" s="200">
        <f t="shared" si="67"/>
        <v>8.3204384581144204</v>
      </c>
      <c r="BN120" s="72">
        <f t="shared" si="52"/>
        <v>-3.8004097823709921</v>
      </c>
      <c r="BO120" s="276">
        <f t="shared" si="78"/>
        <v>0.5</v>
      </c>
      <c r="BP120" s="67">
        <f t="shared" si="76"/>
        <v>0.68421052631578949</v>
      </c>
      <c r="BQ120" s="67">
        <f t="shared" si="77"/>
        <v>0.12</v>
      </c>
      <c r="BR120" s="190">
        <f t="shared" si="75"/>
        <v>0.2857142857142857</v>
      </c>
      <c r="BS120" s="190">
        <f t="shared" si="79"/>
        <v>0.18181818181818182</v>
      </c>
      <c r="BT120" s="73">
        <f t="shared" si="53"/>
        <v>0</v>
      </c>
      <c r="BU120" s="73">
        <f t="shared" si="80"/>
        <v>0.25714285714285712</v>
      </c>
    </row>
    <row r="121" spans="1:73" s="14" customFormat="1" x14ac:dyDescent="0.25">
      <c r="A121" s="13"/>
      <c r="B121" s="59" t="s">
        <v>261</v>
      </c>
      <c r="C121" s="60">
        <v>0</v>
      </c>
      <c r="D121" s="61">
        <v>0</v>
      </c>
      <c r="E121" s="61">
        <v>0</v>
      </c>
      <c r="F121" s="145">
        <v>0</v>
      </c>
      <c r="G121" s="62">
        <v>0</v>
      </c>
      <c r="H121" s="60">
        <v>214</v>
      </c>
      <c r="I121" s="61">
        <v>207</v>
      </c>
      <c r="J121" s="61">
        <v>200</v>
      </c>
      <c r="K121" s="145">
        <v>128</v>
      </c>
      <c r="L121" s="62">
        <v>112</v>
      </c>
      <c r="M121" s="60">
        <v>4</v>
      </c>
      <c r="N121" s="61">
        <v>8</v>
      </c>
      <c r="O121" s="61">
        <v>17</v>
      </c>
      <c r="P121" s="145">
        <v>25</v>
      </c>
      <c r="Q121" s="62">
        <v>30</v>
      </c>
      <c r="R121" s="60">
        <v>5</v>
      </c>
      <c r="S121" s="61">
        <v>0</v>
      </c>
      <c r="T121" s="61">
        <v>0</v>
      </c>
      <c r="U121" s="61">
        <v>0</v>
      </c>
      <c r="V121" s="61">
        <v>0</v>
      </c>
      <c r="W121" s="145">
        <v>0</v>
      </c>
      <c r="X121" s="62">
        <v>0</v>
      </c>
      <c r="Y121" s="60">
        <f>(16.32+21.32)/2</f>
        <v>18.82</v>
      </c>
      <c r="Z121" s="61">
        <f>(21.32+25.76)/2</f>
        <v>23.54</v>
      </c>
      <c r="AA121" s="61">
        <f>(25.76+35.29)/2</f>
        <v>30.524999999999999</v>
      </c>
      <c r="AB121" s="145">
        <v>35.29</v>
      </c>
      <c r="AC121" s="61">
        <v>28.82</v>
      </c>
      <c r="AD121" s="145">
        <v>28.82</v>
      </c>
      <c r="AE121" s="62">
        <v>41.69</v>
      </c>
      <c r="AF121" s="270">
        <v>16523</v>
      </c>
      <c r="AG121" s="65">
        <v>23452</v>
      </c>
      <c r="AH121" s="65">
        <v>26645</v>
      </c>
      <c r="AI121" s="65">
        <v>31417</v>
      </c>
      <c r="AJ121" s="65">
        <v>32242</v>
      </c>
      <c r="AK121" s="196">
        <v>33235</v>
      </c>
      <c r="AL121" s="66">
        <v>29882</v>
      </c>
      <c r="AM121" s="270">
        <v>901</v>
      </c>
      <c r="AN121" s="65">
        <v>795</v>
      </c>
      <c r="AO121" s="65">
        <v>561</v>
      </c>
      <c r="AP121" s="65">
        <v>1828</v>
      </c>
      <c r="AQ121" s="65">
        <v>3716</v>
      </c>
      <c r="AR121" s="196">
        <v>4303</v>
      </c>
      <c r="AS121" s="66">
        <v>5782</v>
      </c>
      <c r="AT121" s="276">
        <f t="shared" si="69"/>
        <v>5.4530049022574592E-2</v>
      </c>
      <c r="AU121" s="67">
        <f t="shared" si="70"/>
        <v>3.3899027801466829E-2</v>
      </c>
      <c r="AV121" s="67">
        <f t="shared" si="71"/>
        <v>2.1054606868080316E-2</v>
      </c>
      <c r="AW121" s="67">
        <f t="shared" si="72"/>
        <v>5.8185059044466372E-2</v>
      </c>
      <c r="AX121" s="67">
        <f t="shared" si="73"/>
        <v>0.11525339619130327</v>
      </c>
      <c r="AY121" s="190">
        <f t="shared" si="51"/>
        <v>0.12947194222957725</v>
      </c>
      <c r="AZ121" s="68">
        <f t="shared" si="48"/>
        <v>0.19349441135131518</v>
      </c>
      <c r="BA121" s="276" t="s">
        <v>226</v>
      </c>
      <c r="BB121" s="69">
        <f t="shared" si="56"/>
        <v>-2.0631021221107764</v>
      </c>
      <c r="BC121" s="69">
        <f t="shared" si="57"/>
        <v>-3.3475442154494273</v>
      </c>
      <c r="BD121" s="69">
        <f t="shared" si="58"/>
        <v>0.36550100218917803</v>
      </c>
      <c r="BE121" s="69">
        <f t="shared" si="59"/>
        <v>6.0723347168728683</v>
      </c>
      <c r="BF121" s="199">
        <f t="shared" si="66"/>
        <v>7.4941893207002659</v>
      </c>
      <c r="BG121" s="70">
        <f t="shared" si="49"/>
        <v>13.896436232874059</v>
      </c>
      <c r="BH121" s="60" t="s">
        <v>226</v>
      </c>
      <c r="BI121" s="71">
        <f t="shared" si="60"/>
        <v>-2.0631021221107764</v>
      </c>
      <c r="BJ121" s="71">
        <f t="shared" si="61"/>
        <v>-1.2844420933386513</v>
      </c>
      <c r="BK121" s="71">
        <f t="shared" si="62"/>
        <v>3.7130452176386051</v>
      </c>
      <c r="BL121" s="71">
        <f t="shared" si="63"/>
        <v>5.7068337146836896</v>
      </c>
      <c r="BM121" s="200">
        <f t="shared" si="67"/>
        <v>1.421854603827398</v>
      </c>
      <c r="BN121" s="72">
        <f t="shared" si="52"/>
        <v>6.4022469121737924</v>
      </c>
      <c r="BO121" s="276">
        <f t="shared" si="78"/>
        <v>0</v>
      </c>
      <c r="BP121" s="67">
        <f t="shared" si="76"/>
        <v>0</v>
      </c>
      <c r="BQ121" s="67">
        <f t="shared" si="77"/>
        <v>0</v>
      </c>
      <c r="BR121" s="190">
        <f t="shared" si="75"/>
        <v>0</v>
      </c>
      <c r="BS121" s="190">
        <f t="shared" si="79"/>
        <v>0</v>
      </c>
      <c r="BT121" s="73">
        <f t="shared" si="53"/>
        <v>0.44656488549618312</v>
      </c>
      <c r="BU121" s="73">
        <f t="shared" si="80"/>
        <v>0.2</v>
      </c>
    </row>
    <row r="122" spans="1:73" s="14" customFormat="1" x14ac:dyDescent="0.25">
      <c r="A122" s="13"/>
      <c r="B122" s="59" t="s">
        <v>262</v>
      </c>
      <c r="C122" s="60">
        <v>0</v>
      </c>
      <c r="D122" s="61">
        <v>0</v>
      </c>
      <c r="E122" s="61">
        <v>0</v>
      </c>
      <c r="F122" s="145">
        <v>0</v>
      </c>
      <c r="G122" s="62">
        <v>0</v>
      </c>
      <c r="H122" s="60">
        <v>212</v>
      </c>
      <c r="I122" s="61">
        <v>212</v>
      </c>
      <c r="J122" s="61">
        <v>212</v>
      </c>
      <c r="K122" s="145">
        <v>233</v>
      </c>
      <c r="L122" s="62">
        <v>233</v>
      </c>
      <c r="M122" s="60">
        <v>59</v>
      </c>
      <c r="N122" s="61">
        <v>77</v>
      </c>
      <c r="O122" s="61">
        <v>84</v>
      </c>
      <c r="P122" s="145">
        <v>90</v>
      </c>
      <c r="Q122" s="62">
        <v>80</v>
      </c>
      <c r="R122" s="60">
        <v>0</v>
      </c>
      <c r="S122" s="61">
        <v>0</v>
      </c>
      <c r="T122" s="61">
        <v>0</v>
      </c>
      <c r="U122" s="61">
        <v>12</v>
      </c>
      <c r="V122" s="61">
        <v>2</v>
      </c>
      <c r="W122" s="145">
        <v>20</v>
      </c>
      <c r="X122" s="62">
        <v>25</v>
      </c>
      <c r="Y122" s="60">
        <v>15.75</v>
      </c>
      <c r="Z122" s="61">
        <v>15.75</v>
      </c>
      <c r="AA122" s="61">
        <v>25.26</v>
      </c>
      <c r="AB122" s="145">
        <v>25.26</v>
      </c>
      <c r="AC122" s="61">
        <v>25.26</v>
      </c>
      <c r="AD122" s="145">
        <v>25.26</v>
      </c>
      <c r="AE122" s="145">
        <v>25.26</v>
      </c>
      <c r="AF122" s="270">
        <v>28633</v>
      </c>
      <c r="AG122" s="65">
        <v>39359</v>
      </c>
      <c r="AH122" s="65">
        <v>51893</v>
      </c>
      <c r="AI122" s="65">
        <v>55527</v>
      </c>
      <c r="AJ122" s="65">
        <v>49815</v>
      </c>
      <c r="AK122" s="196">
        <v>61915</v>
      </c>
      <c r="AL122" s="66">
        <v>63051</v>
      </c>
      <c r="AM122" s="270">
        <v>3293</v>
      </c>
      <c r="AN122" s="65">
        <v>3703</v>
      </c>
      <c r="AO122" s="65">
        <v>6051</v>
      </c>
      <c r="AP122" s="65">
        <v>14620</v>
      </c>
      <c r="AQ122" s="65">
        <v>21105</v>
      </c>
      <c r="AR122" s="196">
        <v>23260</v>
      </c>
      <c r="AS122" s="66">
        <v>8195</v>
      </c>
      <c r="AT122" s="276">
        <f t="shared" si="69"/>
        <v>0.11500715957112423</v>
      </c>
      <c r="AU122" s="67">
        <f t="shared" si="70"/>
        <v>9.4082674864706922E-2</v>
      </c>
      <c r="AV122" s="67">
        <f t="shared" si="71"/>
        <v>0.11660532249050931</v>
      </c>
      <c r="AW122" s="67">
        <f t="shared" si="72"/>
        <v>0.26329533380157399</v>
      </c>
      <c r="AX122" s="67">
        <f t="shared" si="73"/>
        <v>0.42366757000903343</v>
      </c>
      <c r="AY122" s="190">
        <f t="shared" si="51"/>
        <v>0.37567633045304044</v>
      </c>
      <c r="AZ122" s="68">
        <f t="shared" si="48"/>
        <v>0.12997414791200773</v>
      </c>
      <c r="BA122" s="276" t="s">
        <v>226</v>
      </c>
      <c r="BB122" s="69">
        <f t="shared" si="56"/>
        <v>-2.0924484706417306</v>
      </c>
      <c r="BC122" s="69">
        <f t="shared" si="57"/>
        <v>0.15981629193850821</v>
      </c>
      <c r="BD122" s="69">
        <f t="shared" si="58"/>
        <v>14.828817423044976</v>
      </c>
      <c r="BE122" s="69">
        <f t="shared" si="59"/>
        <v>30.866041043790922</v>
      </c>
      <c r="BF122" s="199">
        <f t="shared" si="66"/>
        <v>26.066917088191623</v>
      </c>
      <c r="BG122" s="70">
        <f t="shared" si="49"/>
        <v>1.4966988340883502</v>
      </c>
      <c r="BH122" s="60" t="s">
        <v>226</v>
      </c>
      <c r="BI122" s="71">
        <f t="shared" si="60"/>
        <v>-2.0924484706417306</v>
      </c>
      <c r="BJ122" s="71">
        <f t="shared" si="61"/>
        <v>2.2522647625802388</v>
      </c>
      <c r="BK122" s="71">
        <f t="shared" si="62"/>
        <v>14.669001131106468</v>
      </c>
      <c r="BL122" s="71">
        <f t="shared" si="63"/>
        <v>16.037223620745944</v>
      </c>
      <c r="BM122" s="200">
        <f t="shared" si="67"/>
        <v>-4.7991239555992991</v>
      </c>
      <c r="BN122" s="72">
        <f t="shared" si="52"/>
        <v>-24.570218254103271</v>
      </c>
      <c r="BO122" s="276">
        <f t="shared" si="78"/>
        <v>0</v>
      </c>
      <c r="BP122" s="67">
        <f t="shared" si="76"/>
        <v>0.15584415584415584</v>
      </c>
      <c r="BQ122" s="67">
        <f t="shared" si="77"/>
        <v>2.3809523809523808E-2</v>
      </c>
      <c r="BR122" s="190">
        <f t="shared" si="75"/>
        <v>0.22222222222222221</v>
      </c>
      <c r="BS122" s="190">
        <f t="shared" si="79"/>
        <v>0.3125</v>
      </c>
      <c r="BT122" s="73">
        <f t="shared" si="53"/>
        <v>0</v>
      </c>
      <c r="BU122" s="73">
        <f t="shared" si="80"/>
        <v>-0.1111111111111111</v>
      </c>
    </row>
    <row r="123" spans="1:73" s="9" customFormat="1" x14ac:dyDescent="0.25">
      <c r="A123" s="12"/>
      <c r="B123" s="17" t="s">
        <v>168</v>
      </c>
      <c r="C123" s="2">
        <v>27</v>
      </c>
      <c r="D123" s="3">
        <v>27</v>
      </c>
      <c r="E123" s="3">
        <v>27</v>
      </c>
      <c r="F123" s="144">
        <v>0</v>
      </c>
      <c r="G123" s="4">
        <v>30</v>
      </c>
      <c r="H123" s="2">
        <v>0</v>
      </c>
      <c r="I123" s="3">
        <v>0</v>
      </c>
      <c r="J123" s="3">
        <v>0</v>
      </c>
      <c r="K123" s="144">
        <v>346</v>
      </c>
      <c r="L123" s="4">
        <v>368</v>
      </c>
      <c r="M123" s="2">
        <v>61</v>
      </c>
      <c r="N123" s="3">
        <v>97</v>
      </c>
      <c r="O123" s="3">
        <v>63</v>
      </c>
      <c r="P123" s="144">
        <v>141</v>
      </c>
      <c r="Q123" s="4">
        <v>77</v>
      </c>
      <c r="R123" s="2">
        <v>0</v>
      </c>
      <c r="S123" s="3">
        <v>0</v>
      </c>
      <c r="T123" s="3">
        <v>3</v>
      </c>
      <c r="U123" s="3">
        <v>12</v>
      </c>
      <c r="V123" s="3">
        <v>22</v>
      </c>
      <c r="W123" s="144">
        <v>0</v>
      </c>
      <c r="X123" s="4">
        <v>8</v>
      </c>
      <c r="Y123" s="2"/>
      <c r="Z123" s="3"/>
      <c r="AA123" s="3"/>
      <c r="AB123" s="144"/>
      <c r="AC123" s="3"/>
      <c r="AD123" s="153">
        <v>23.31</v>
      </c>
      <c r="AE123" s="86">
        <v>23.31</v>
      </c>
      <c r="AF123" s="19"/>
      <c r="AG123" s="20"/>
      <c r="AH123" s="20"/>
      <c r="AI123" s="20"/>
      <c r="AJ123" s="20"/>
      <c r="AK123" s="210">
        <v>137485</v>
      </c>
      <c r="AL123" s="21">
        <v>102280</v>
      </c>
      <c r="AM123" s="19"/>
      <c r="AN123" s="20"/>
      <c r="AO123" s="20"/>
      <c r="AP123" s="20"/>
      <c r="AQ123" s="20"/>
      <c r="AR123" s="210">
        <v>29802</v>
      </c>
      <c r="AS123" s="21">
        <v>19560</v>
      </c>
      <c r="AT123" s="50"/>
      <c r="AU123" s="51"/>
      <c r="AV123" s="51"/>
      <c r="AW123" s="51"/>
      <c r="AX123" s="51"/>
      <c r="AY123" s="211">
        <f t="shared" si="51"/>
        <v>0.21676546532348984</v>
      </c>
      <c r="AZ123" s="52">
        <f t="shared" si="48"/>
        <v>0.19123973406335548</v>
      </c>
      <c r="BA123" s="50" t="s">
        <v>226</v>
      </c>
      <c r="BB123" s="53"/>
      <c r="BC123" s="53"/>
      <c r="BD123" s="53"/>
      <c r="BE123" s="53"/>
      <c r="BF123" s="212"/>
      <c r="BG123" s="54"/>
      <c r="BH123" s="2" t="s">
        <v>226</v>
      </c>
      <c r="BI123" s="55"/>
      <c r="BJ123" s="55"/>
      <c r="BK123" s="55"/>
      <c r="BL123" s="55"/>
      <c r="BM123" s="213"/>
      <c r="BN123" s="56">
        <f t="shared" si="52"/>
        <v>-2.5525731260134354</v>
      </c>
      <c r="BO123" s="50">
        <f t="shared" si="78"/>
        <v>4.9180327868852458E-2</v>
      </c>
      <c r="BP123" s="51">
        <f t="shared" si="76"/>
        <v>0.12371134020618557</v>
      </c>
      <c r="BQ123" s="51">
        <f t="shared" si="77"/>
        <v>0.34920634920634919</v>
      </c>
      <c r="BR123" s="211">
        <f t="shared" si="75"/>
        <v>0</v>
      </c>
      <c r="BS123" s="211">
        <f t="shared" si="79"/>
        <v>0.1038961038961039</v>
      </c>
      <c r="BT123" s="57">
        <f t="shared" si="53"/>
        <v>0</v>
      </c>
      <c r="BU123" s="57">
        <f t="shared" si="80"/>
        <v>-0.45390070921985815</v>
      </c>
    </row>
    <row r="124" spans="1:73" s="14" customFormat="1" x14ac:dyDescent="0.25">
      <c r="A124" s="13"/>
      <c r="B124" s="59" t="s">
        <v>263</v>
      </c>
      <c r="C124" s="60">
        <v>10</v>
      </c>
      <c r="D124" s="61">
        <v>10</v>
      </c>
      <c r="E124" s="61">
        <v>10</v>
      </c>
      <c r="F124" s="145">
        <v>0</v>
      </c>
      <c r="G124" s="62">
        <v>10</v>
      </c>
      <c r="H124" s="60">
        <v>183</v>
      </c>
      <c r="I124" s="61">
        <v>183</v>
      </c>
      <c r="J124" s="61">
        <v>183</v>
      </c>
      <c r="K124" s="145">
        <v>181</v>
      </c>
      <c r="L124" s="62">
        <v>168</v>
      </c>
      <c r="M124" s="60">
        <v>29</v>
      </c>
      <c r="N124" s="61">
        <v>51</v>
      </c>
      <c r="O124" s="61">
        <v>55</v>
      </c>
      <c r="P124" s="145">
        <v>49</v>
      </c>
      <c r="Q124" s="62">
        <v>43</v>
      </c>
      <c r="R124" s="60">
        <v>10</v>
      </c>
      <c r="S124" s="61">
        <v>3</v>
      </c>
      <c r="T124" s="61">
        <v>7</v>
      </c>
      <c r="U124" s="61">
        <v>9</v>
      </c>
      <c r="V124" s="61">
        <v>7</v>
      </c>
      <c r="W124" s="145">
        <v>7</v>
      </c>
      <c r="X124" s="62">
        <v>12</v>
      </c>
      <c r="Y124" s="60"/>
      <c r="Z124" s="61">
        <v>19.03</v>
      </c>
      <c r="AA124" s="61">
        <v>20.53</v>
      </c>
      <c r="AB124" s="145">
        <v>29.23</v>
      </c>
      <c r="AC124" s="61">
        <v>29.23</v>
      </c>
      <c r="AD124" s="145">
        <v>29.23</v>
      </c>
      <c r="AE124" s="62">
        <v>29.82</v>
      </c>
      <c r="AF124" s="270">
        <v>32759</v>
      </c>
      <c r="AG124" s="65">
        <v>37396</v>
      </c>
      <c r="AH124" s="65">
        <v>42828</v>
      </c>
      <c r="AI124" s="65">
        <v>45019</v>
      </c>
      <c r="AJ124" s="65">
        <v>44324</v>
      </c>
      <c r="AK124" s="196">
        <v>41665</v>
      </c>
      <c r="AL124" s="66">
        <v>43621</v>
      </c>
      <c r="AM124" s="270">
        <v>4201</v>
      </c>
      <c r="AN124" s="65">
        <v>2369</v>
      </c>
      <c r="AO124" s="65">
        <v>4366</v>
      </c>
      <c r="AP124" s="65">
        <v>7919</v>
      </c>
      <c r="AQ124" s="65">
        <v>14218</v>
      </c>
      <c r="AR124" s="196">
        <v>9856</v>
      </c>
      <c r="AS124" s="66">
        <v>14378</v>
      </c>
      <c r="AT124" s="276">
        <f t="shared" si="69"/>
        <v>0.12823956775237338</v>
      </c>
      <c r="AU124" s="67">
        <f t="shared" si="70"/>
        <v>6.3349021285699011E-2</v>
      </c>
      <c r="AV124" s="67">
        <f t="shared" si="71"/>
        <v>0.10194265433828337</v>
      </c>
      <c r="AW124" s="67">
        <f t="shared" si="72"/>
        <v>0.1759035074079833</v>
      </c>
      <c r="AX124" s="67">
        <f t="shared" si="73"/>
        <v>0.3207742983485245</v>
      </c>
      <c r="AY124" s="190">
        <f t="shared" si="51"/>
        <v>0.23655346213848555</v>
      </c>
      <c r="AZ124" s="68">
        <f t="shared" si="48"/>
        <v>0.32961188418422321</v>
      </c>
      <c r="BA124" s="276" t="s">
        <v>226</v>
      </c>
      <c r="BB124" s="69">
        <f t="shared" si="56"/>
        <v>-6.4890546466674373</v>
      </c>
      <c r="BC124" s="69">
        <f t="shared" si="57"/>
        <v>-2.6296913414090017</v>
      </c>
      <c r="BD124" s="69">
        <f t="shared" si="58"/>
        <v>4.7663939655609919</v>
      </c>
      <c r="BE124" s="69">
        <f t="shared" si="59"/>
        <v>19.253473059615111</v>
      </c>
      <c r="BF124" s="199">
        <f t="shared" si="66"/>
        <v>10.831389438611216</v>
      </c>
      <c r="BG124" s="70">
        <f t="shared" si="49"/>
        <v>20.137231643184982</v>
      </c>
      <c r="BH124" s="60" t="s">
        <v>226</v>
      </c>
      <c r="BI124" s="71">
        <f t="shared" si="60"/>
        <v>-6.4890546466674373</v>
      </c>
      <c r="BJ124" s="71">
        <f t="shared" si="61"/>
        <v>3.8593633052584355</v>
      </c>
      <c r="BK124" s="71">
        <f t="shared" si="62"/>
        <v>7.3960853069699937</v>
      </c>
      <c r="BL124" s="71">
        <f t="shared" si="63"/>
        <v>14.487079094054121</v>
      </c>
      <c r="BM124" s="200">
        <f t="shared" si="67"/>
        <v>-8.4220836210038961</v>
      </c>
      <c r="BN124" s="72">
        <f t="shared" si="52"/>
        <v>9.3058422045737661</v>
      </c>
      <c r="BO124" s="276">
        <f t="shared" si="78"/>
        <v>0.2413793103448276</v>
      </c>
      <c r="BP124" s="67">
        <f t="shared" si="76"/>
        <v>0.17647058823529413</v>
      </c>
      <c r="BQ124" s="67">
        <f t="shared" si="77"/>
        <v>0.12727272727272726</v>
      </c>
      <c r="BR124" s="190">
        <f t="shared" si="75"/>
        <v>0.14285714285714285</v>
      </c>
      <c r="BS124" s="190">
        <f t="shared" si="79"/>
        <v>0.27906976744186046</v>
      </c>
      <c r="BT124" s="73">
        <f t="shared" si="53"/>
        <v>2.0184741703729039E-2</v>
      </c>
      <c r="BU124" s="73">
        <f t="shared" si="80"/>
        <v>-0.12244897959183673</v>
      </c>
    </row>
    <row r="125" spans="1:73" s="14" customFormat="1" x14ac:dyDescent="0.25">
      <c r="A125" s="13"/>
      <c r="B125" s="59" t="s">
        <v>264</v>
      </c>
      <c r="C125" s="60">
        <v>0</v>
      </c>
      <c r="D125" s="61">
        <v>0</v>
      </c>
      <c r="E125" s="61">
        <v>0</v>
      </c>
      <c r="F125" s="145">
        <v>0</v>
      </c>
      <c r="G125" s="62">
        <v>0</v>
      </c>
      <c r="H125" s="60">
        <v>260</v>
      </c>
      <c r="I125" s="61">
        <v>255</v>
      </c>
      <c r="J125" s="61">
        <v>250</v>
      </c>
      <c r="K125" s="145">
        <v>95</v>
      </c>
      <c r="L125" s="62">
        <v>92</v>
      </c>
      <c r="M125" s="60">
        <v>38</v>
      </c>
      <c r="N125" s="61">
        <v>30</v>
      </c>
      <c r="O125" s="61">
        <v>34</v>
      </c>
      <c r="P125" s="145">
        <v>24</v>
      </c>
      <c r="Q125" s="62">
        <v>21</v>
      </c>
      <c r="R125" s="60">
        <v>0</v>
      </c>
      <c r="S125" s="61">
        <v>0</v>
      </c>
      <c r="T125" s="61">
        <v>0</v>
      </c>
      <c r="U125" s="61">
        <v>0</v>
      </c>
      <c r="V125" s="61">
        <v>0</v>
      </c>
      <c r="W125" s="145">
        <v>0</v>
      </c>
      <c r="X125" s="62">
        <v>0</v>
      </c>
      <c r="Y125" s="60" t="s">
        <v>126</v>
      </c>
      <c r="Z125" s="61" t="s">
        <v>126</v>
      </c>
      <c r="AA125" s="61" t="s">
        <v>207</v>
      </c>
      <c r="AB125" s="145" t="s">
        <v>127</v>
      </c>
      <c r="AC125" s="61" t="s">
        <v>134</v>
      </c>
      <c r="AD125" s="145" t="s">
        <v>134</v>
      </c>
      <c r="AE125" s="145" t="s">
        <v>405</v>
      </c>
      <c r="AF125" s="270">
        <v>11923</v>
      </c>
      <c r="AG125" s="65">
        <v>15487</v>
      </c>
      <c r="AH125" s="65">
        <v>17869</v>
      </c>
      <c r="AI125" s="65">
        <v>20787</v>
      </c>
      <c r="AJ125" s="65">
        <v>31348</v>
      </c>
      <c r="AK125" s="196">
        <v>34599</v>
      </c>
      <c r="AL125" s="66">
        <v>29121</v>
      </c>
      <c r="AM125" s="270">
        <v>8250</v>
      </c>
      <c r="AN125" s="65">
        <v>7950</v>
      </c>
      <c r="AO125" s="65">
        <v>7740</v>
      </c>
      <c r="AP125" s="65">
        <v>7860</v>
      </c>
      <c r="AQ125" s="65">
        <v>9945</v>
      </c>
      <c r="AR125" s="196">
        <v>6417</v>
      </c>
      <c r="AS125" s="66">
        <v>4716</v>
      </c>
      <c r="AT125" s="276">
        <f t="shared" si="69"/>
        <v>0.69193994799966452</v>
      </c>
      <c r="AU125" s="67">
        <f t="shared" si="70"/>
        <v>0.51333376380189832</v>
      </c>
      <c r="AV125" s="67">
        <f t="shared" si="71"/>
        <v>0.43315238681515472</v>
      </c>
      <c r="AW125" s="67">
        <f t="shared" si="72"/>
        <v>0.37812094097272336</v>
      </c>
      <c r="AX125" s="67">
        <f t="shared" si="73"/>
        <v>0.31724511930585686</v>
      </c>
      <c r="AY125" s="190">
        <f t="shared" si="51"/>
        <v>0.18546778808636089</v>
      </c>
      <c r="AZ125" s="68">
        <f t="shared" si="48"/>
        <v>0.16194498815287936</v>
      </c>
      <c r="BA125" s="276" t="s">
        <v>226</v>
      </c>
      <c r="BB125" s="69">
        <f t="shared" si="56"/>
        <v>-17.860618419776621</v>
      </c>
      <c r="BC125" s="69">
        <f t="shared" si="57"/>
        <v>-25.87875611845098</v>
      </c>
      <c r="BD125" s="69">
        <f t="shared" si="58"/>
        <v>-31.381900702694114</v>
      </c>
      <c r="BE125" s="69">
        <f t="shared" si="59"/>
        <v>-37.469482869380769</v>
      </c>
      <c r="BF125" s="199">
        <f t="shared" si="66"/>
        <v>-50.647215991330363</v>
      </c>
      <c r="BG125" s="70">
        <f t="shared" si="49"/>
        <v>-52.999495984678511</v>
      </c>
      <c r="BH125" s="60" t="s">
        <v>226</v>
      </c>
      <c r="BI125" s="71">
        <f t="shared" si="60"/>
        <v>-17.860618419776621</v>
      </c>
      <c r="BJ125" s="71">
        <f t="shared" si="61"/>
        <v>-8.0181376986743604</v>
      </c>
      <c r="BK125" s="71">
        <f t="shared" si="62"/>
        <v>-5.5031445842431364</v>
      </c>
      <c r="BL125" s="71">
        <f t="shared" si="63"/>
        <v>-6.0875821666866505</v>
      </c>
      <c r="BM125" s="200">
        <f t="shared" si="67"/>
        <v>-13.177733121949597</v>
      </c>
      <c r="BN125" s="72">
        <f t="shared" si="52"/>
        <v>-2.3522799933481524</v>
      </c>
      <c r="BO125" s="276">
        <f t="shared" si="78"/>
        <v>0</v>
      </c>
      <c r="BP125" s="67">
        <f t="shared" si="76"/>
        <v>0</v>
      </c>
      <c r="BQ125" s="67">
        <f t="shared" si="77"/>
        <v>0</v>
      </c>
      <c r="BR125" s="190">
        <f t="shared" si="75"/>
        <v>0</v>
      </c>
      <c r="BS125" s="190">
        <f t="shared" si="79"/>
        <v>0</v>
      </c>
      <c r="BT125" s="73"/>
      <c r="BU125" s="73">
        <f t="shared" si="80"/>
        <v>-0.125</v>
      </c>
    </row>
    <row r="126" spans="1:73" s="11" customFormat="1" x14ac:dyDescent="0.25">
      <c r="A126" s="10"/>
      <c r="B126" s="33" t="s">
        <v>265</v>
      </c>
      <c r="C126" s="34">
        <v>0</v>
      </c>
      <c r="D126" s="35">
        <v>0</v>
      </c>
      <c r="E126" s="35">
        <v>0</v>
      </c>
      <c r="F126" s="93"/>
      <c r="G126" s="36"/>
      <c r="H126" s="34">
        <v>13</v>
      </c>
      <c r="I126" s="35">
        <v>13</v>
      </c>
      <c r="J126" s="35">
        <v>12</v>
      </c>
      <c r="K126" s="93"/>
      <c r="L126" s="36"/>
      <c r="M126" s="34">
        <v>4</v>
      </c>
      <c r="N126" s="35">
        <v>10</v>
      </c>
      <c r="O126" s="35">
        <v>9</v>
      </c>
      <c r="P126" s="93"/>
      <c r="Q126" s="36"/>
      <c r="R126" s="34">
        <v>0</v>
      </c>
      <c r="S126" s="35">
        <v>0</v>
      </c>
      <c r="T126" s="35">
        <v>0</v>
      </c>
      <c r="U126" s="35">
        <v>0</v>
      </c>
      <c r="V126" s="35">
        <v>0</v>
      </c>
      <c r="W126" s="93"/>
      <c r="X126" s="36"/>
      <c r="Y126" s="34" t="s">
        <v>150</v>
      </c>
      <c r="Z126" s="35" t="s">
        <v>150</v>
      </c>
      <c r="AA126" s="35" t="s">
        <v>150</v>
      </c>
      <c r="AB126" s="93" t="s">
        <v>150</v>
      </c>
      <c r="AC126" s="35" t="s">
        <v>150</v>
      </c>
      <c r="AD126" s="154"/>
      <c r="AE126" s="90"/>
      <c r="AF126" s="38">
        <v>1200</v>
      </c>
      <c r="AG126" s="39">
        <v>1203</v>
      </c>
      <c r="AH126" s="39">
        <v>1280</v>
      </c>
      <c r="AI126" s="39">
        <v>989</v>
      </c>
      <c r="AJ126" s="39">
        <v>1144</v>
      </c>
      <c r="AK126" s="182"/>
      <c r="AL126" s="40"/>
      <c r="AM126" s="38">
        <v>342</v>
      </c>
      <c r="AN126" s="39">
        <v>404</v>
      </c>
      <c r="AO126" s="39">
        <v>380</v>
      </c>
      <c r="AP126" s="39">
        <v>654</v>
      </c>
      <c r="AQ126" s="39">
        <v>1000</v>
      </c>
      <c r="AR126" s="182"/>
      <c r="AS126" s="40"/>
      <c r="AT126" s="41">
        <f t="shared" si="69"/>
        <v>0.28499999999999998</v>
      </c>
      <c r="AU126" s="42">
        <f t="shared" si="70"/>
        <v>0.33582709891936824</v>
      </c>
      <c r="AV126" s="42">
        <f t="shared" si="71"/>
        <v>0.296875</v>
      </c>
      <c r="AW126" s="42">
        <f t="shared" si="72"/>
        <v>0.66127401415571285</v>
      </c>
      <c r="AX126" s="42">
        <f t="shared" si="73"/>
        <v>0.87412587412587417</v>
      </c>
      <c r="AY126" s="183"/>
      <c r="AZ126" s="43"/>
      <c r="BA126" s="41" t="s">
        <v>226</v>
      </c>
      <c r="BB126" s="44">
        <f t="shared" si="56"/>
        <v>5.0827098919368261</v>
      </c>
      <c r="BC126" s="44">
        <f t="shared" si="57"/>
        <v>1.1875000000000024</v>
      </c>
      <c r="BD126" s="44">
        <f t="shared" si="58"/>
        <v>37.627401415571285</v>
      </c>
      <c r="BE126" s="44">
        <f t="shared" si="59"/>
        <v>58.912587412587428</v>
      </c>
      <c r="BF126" s="184"/>
      <c r="BG126" s="45"/>
      <c r="BH126" s="34" t="s">
        <v>226</v>
      </c>
      <c r="BI126" s="46">
        <f t="shared" si="60"/>
        <v>5.0827098919368261</v>
      </c>
      <c r="BJ126" s="46">
        <f t="shared" si="61"/>
        <v>-3.8952098919368239</v>
      </c>
      <c r="BK126" s="46">
        <f t="shared" si="62"/>
        <v>36.439901415571285</v>
      </c>
      <c r="BL126" s="46">
        <f t="shared" si="63"/>
        <v>21.285185997016132</v>
      </c>
      <c r="BM126" s="185"/>
      <c r="BN126" s="47"/>
      <c r="BO126" s="41">
        <f t="shared" si="78"/>
        <v>0</v>
      </c>
      <c r="BP126" s="42">
        <f t="shared" si="76"/>
        <v>0</v>
      </c>
      <c r="BQ126" s="42">
        <f t="shared" si="77"/>
        <v>0</v>
      </c>
      <c r="BR126" s="183"/>
      <c r="BS126" s="183"/>
      <c r="BT126" s="48"/>
      <c r="BU126" s="48"/>
    </row>
    <row r="127" spans="1:73" s="11" customFormat="1" x14ac:dyDescent="0.25">
      <c r="A127" s="10"/>
      <c r="B127" s="33" t="s">
        <v>266</v>
      </c>
      <c r="C127" s="34">
        <v>0</v>
      </c>
      <c r="D127" s="35">
        <v>0</v>
      </c>
      <c r="E127" s="35">
        <v>0</v>
      </c>
      <c r="F127" s="93"/>
      <c r="G127" s="36">
        <v>0</v>
      </c>
      <c r="H127" s="34">
        <v>33</v>
      </c>
      <c r="I127" s="35">
        <v>36</v>
      </c>
      <c r="J127" s="35">
        <v>36</v>
      </c>
      <c r="K127" s="93"/>
      <c r="L127" s="36">
        <v>62</v>
      </c>
      <c r="M127" s="34">
        <v>1</v>
      </c>
      <c r="N127" s="35">
        <v>3</v>
      </c>
      <c r="O127" s="35">
        <v>11</v>
      </c>
      <c r="P127" s="93"/>
      <c r="Q127" s="36">
        <v>12</v>
      </c>
      <c r="R127" s="34">
        <v>1</v>
      </c>
      <c r="S127" s="35">
        <v>0</v>
      </c>
      <c r="T127" s="35">
        <v>0</v>
      </c>
      <c r="U127" s="35">
        <v>0</v>
      </c>
      <c r="V127" s="35">
        <v>0</v>
      </c>
      <c r="W127" s="93"/>
      <c r="X127" s="36">
        <v>0</v>
      </c>
      <c r="Y127" s="34" t="s">
        <v>108</v>
      </c>
      <c r="Z127" s="35" t="s">
        <v>126</v>
      </c>
      <c r="AA127" s="35" t="s">
        <v>126</v>
      </c>
      <c r="AB127" s="93" t="s">
        <v>126</v>
      </c>
      <c r="AC127" s="35" t="s">
        <v>126</v>
      </c>
      <c r="AD127" s="154" t="s">
        <v>127</v>
      </c>
      <c r="AE127" s="90"/>
      <c r="AF127" s="38">
        <v>2018</v>
      </c>
      <c r="AG127" s="39">
        <v>2064</v>
      </c>
      <c r="AH127" s="39">
        <v>2900</v>
      </c>
      <c r="AI127" s="39">
        <v>2775</v>
      </c>
      <c r="AJ127" s="39">
        <v>2790</v>
      </c>
      <c r="AK127" s="182"/>
      <c r="AL127" s="40">
        <v>3514</v>
      </c>
      <c r="AM127" s="38">
        <v>76</v>
      </c>
      <c r="AN127" s="39">
        <v>0</v>
      </c>
      <c r="AO127" s="39">
        <v>66</v>
      </c>
      <c r="AP127" s="39">
        <v>248</v>
      </c>
      <c r="AQ127" s="39">
        <v>778</v>
      </c>
      <c r="AR127" s="182"/>
      <c r="AS127" s="40">
        <v>1051</v>
      </c>
      <c r="AT127" s="41">
        <f t="shared" si="69"/>
        <v>3.7661050545094152E-2</v>
      </c>
      <c r="AU127" s="42">
        <f t="shared" si="70"/>
        <v>0</v>
      </c>
      <c r="AV127" s="42">
        <f t="shared" si="71"/>
        <v>2.2758620689655173E-2</v>
      </c>
      <c r="AW127" s="42">
        <f t="shared" si="72"/>
        <v>8.9369369369369372E-2</v>
      </c>
      <c r="AX127" s="42">
        <f t="shared" si="73"/>
        <v>0.27885304659498206</v>
      </c>
      <c r="AY127" s="183"/>
      <c r="AZ127" s="43">
        <f t="shared" si="48"/>
        <v>0.29908935685828114</v>
      </c>
      <c r="BA127" s="41" t="s">
        <v>226</v>
      </c>
      <c r="BB127" s="44">
        <f t="shared" si="56"/>
        <v>-3.7661050545094152</v>
      </c>
      <c r="BC127" s="44">
        <f t="shared" si="57"/>
        <v>-1.4902429855438979</v>
      </c>
      <c r="BD127" s="44">
        <f t="shared" si="58"/>
        <v>5.1708318824275219</v>
      </c>
      <c r="BE127" s="44">
        <f t="shared" si="59"/>
        <v>24.11919960498879</v>
      </c>
      <c r="BF127" s="184"/>
      <c r="BG127" s="45">
        <f t="shared" si="49"/>
        <v>26.142830631318699</v>
      </c>
      <c r="BH127" s="34" t="s">
        <v>226</v>
      </c>
      <c r="BI127" s="46">
        <f t="shared" si="60"/>
        <v>-3.7661050545094152</v>
      </c>
      <c r="BJ127" s="46">
        <f t="shared" si="61"/>
        <v>2.2758620689655173</v>
      </c>
      <c r="BK127" s="46">
        <f t="shared" si="62"/>
        <v>6.6610748679714202</v>
      </c>
      <c r="BL127" s="46">
        <f t="shared" si="63"/>
        <v>18.948367722561269</v>
      </c>
      <c r="BM127" s="185"/>
      <c r="BN127" s="47"/>
      <c r="BO127" s="41">
        <f t="shared" si="78"/>
        <v>0</v>
      </c>
      <c r="BP127" s="42">
        <f t="shared" si="76"/>
        <v>0</v>
      </c>
      <c r="BQ127" s="42">
        <f t="shared" si="77"/>
        <v>0</v>
      </c>
      <c r="BR127" s="183"/>
      <c r="BS127" s="183">
        <f>X127/Q127</f>
        <v>0</v>
      </c>
      <c r="BT127" s="48"/>
      <c r="BU127" s="48"/>
    </row>
    <row r="128" spans="1:73" s="14" customFormat="1" x14ac:dyDescent="0.25">
      <c r="A128" s="13"/>
      <c r="B128" s="59" t="s">
        <v>267</v>
      </c>
      <c r="C128" s="60">
        <v>0</v>
      </c>
      <c r="D128" s="61">
        <v>0</v>
      </c>
      <c r="E128" s="61">
        <v>0</v>
      </c>
      <c r="F128" s="145">
        <v>0</v>
      </c>
      <c r="G128" s="62">
        <v>0</v>
      </c>
      <c r="H128" s="60">
        <v>304</v>
      </c>
      <c r="I128" s="61">
        <v>289</v>
      </c>
      <c r="J128" s="61">
        <v>275</v>
      </c>
      <c r="K128" s="145">
        <v>262</v>
      </c>
      <c r="L128" s="62">
        <v>255</v>
      </c>
      <c r="M128" s="60">
        <v>100</v>
      </c>
      <c r="N128" s="61">
        <v>897</v>
      </c>
      <c r="O128" s="61">
        <v>123</v>
      </c>
      <c r="P128" s="145">
        <v>36</v>
      </c>
      <c r="Q128" s="62">
        <v>35</v>
      </c>
      <c r="R128" s="60">
        <v>0</v>
      </c>
      <c r="S128" s="61">
        <v>0</v>
      </c>
      <c r="T128" s="61">
        <v>0</v>
      </c>
      <c r="U128" s="61">
        <v>0</v>
      </c>
      <c r="V128" s="61">
        <v>11</v>
      </c>
      <c r="W128" s="145">
        <v>11</v>
      </c>
      <c r="X128" s="62">
        <v>15</v>
      </c>
      <c r="Y128" s="60"/>
      <c r="Z128" s="61" t="s">
        <v>141</v>
      </c>
      <c r="AA128" s="61" t="s">
        <v>141</v>
      </c>
      <c r="AB128" s="145" t="s">
        <v>95</v>
      </c>
      <c r="AC128" s="61">
        <v>28.01</v>
      </c>
      <c r="AD128" s="145">
        <v>28.01</v>
      </c>
      <c r="AE128" s="145">
        <v>28.01</v>
      </c>
      <c r="AF128" s="270"/>
      <c r="AG128" s="65">
        <v>10671</v>
      </c>
      <c r="AH128" s="65">
        <v>29837</v>
      </c>
      <c r="AI128" s="65">
        <v>35342</v>
      </c>
      <c r="AJ128" s="65">
        <v>41318</v>
      </c>
      <c r="AK128" s="196">
        <v>49972</v>
      </c>
      <c r="AL128" s="66">
        <v>45685</v>
      </c>
      <c r="AM128" s="270"/>
      <c r="AN128" s="65">
        <v>1345</v>
      </c>
      <c r="AO128" s="65">
        <v>3232</v>
      </c>
      <c r="AP128" s="65">
        <v>8565</v>
      </c>
      <c r="AQ128" s="65">
        <v>13550</v>
      </c>
      <c r="AR128" s="196">
        <v>19400</v>
      </c>
      <c r="AS128" s="66">
        <v>8503</v>
      </c>
      <c r="AT128" s="276"/>
      <c r="AU128" s="67">
        <f t="shared" si="70"/>
        <v>0.126042545216006</v>
      </c>
      <c r="AV128" s="67">
        <f t="shared" si="71"/>
        <v>0.10832188222676542</v>
      </c>
      <c r="AW128" s="67">
        <f t="shared" si="72"/>
        <v>0.24234621696564992</v>
      </c>
      <c r="AX128" s="67">
        <f t="shared" si="73"/>
        <v>0.3279442373783823</v>
      </c>
      <c r="AY128" s="190">
        <f t="shared" si="51"/>
        <v>0.38821740174497721</v>
      </c>
      <c r="AZ128" s="68">
        <f t="shared" si="48"/>
        <v>0.18612235963664223</v>
      </c>
      <c r="BA128" s="276" t="s">
        <v>226</v>
      </c>
      <c r="BB128" s="69"/>
      <c r="BC128" s="69"/>
      <c r="BD128" s="69"/>
      <c r="BE128" s="69"/>
      <c r="BF128" s="199"/>
      <c r="BG128" s="70">
        <f t="shared" si="49"/>
        <v>18.612235963664222</v>
      </c>
      <c r="BH128" s="60" t="s">
        <v>226</v>
      </c>
      <c r="BI128" s="71"/>
      <c r="BJ128" s="71">
        <f t="shared" si="61"/>
        <v>-1.7720662989240576</v>
      </c>
      <c r="BK128" s="71">
        <f t="shared" si="62"/>
        <v>13.402433473888451</v>
      </c>
      <c r="BL128" s="71">
        <f t="shared" si="63"/>
        <v>8.5598020412732367</v>
      </c>
      <c r="BM128" s="200">
        <f t="shared" si="67"/>
        <v>6.0273164366594916</v>
      </c>
      <c r="BN128" s="72">
        <f t="shared" si="52"/>
        <v>-20.209504210833497</v>
      </c>
      <c r="BO128" s="276">
        <f t="shared" si="78"/>
        <v>0</v>
      </c>
      <c r="BP128" s="67">
        <f t="shared" si="76"/>
        <v>0</v>
      </c>
      <c r="BQ128" s="67">
        <f t="shared" si="77"/>
        <v>8.943089430894309E-2</v>
      </c>
      <c r="BR128" s="190">
        <f>W128/P128</f>
        <v>0.30555555555555558</v>
      </c>
      <c r="BS128" s="190">
        <f>X128/Q128</f>
        <v>0.42857142857142855</v>
      </c>
      <c r="BT128" s="73">
        <f t="shared" si="53"/>
        <v>0</v>
      </c>
      <c r="BU128" s="73">
        <f>(Q128-P128)/P128</f>
        <v>-2.7777777777777776E-2</v>
      </c>
    </row>
    <row r="129" spans="1:73" s="16" customFormat="1" x14ac:dyDescent="0.25">
      <c r="A129" s="12">
        <v>60</v>
      </c>
      <c r="B129" s="17" t="s">
        <v>31</v>
      </c>
      <c r="C129" s="2">
        <v>0</v>
      </c>
      <c r="D129" s="3">
        <v>0</v>
      </c>
      <c r="E129" s="3">
        <v>0</v>
      </c>
      <c r="F129" s="144">
        <v>0</v>
      </c>
      <c r="G129" s="4">
        <v>0</v>
      </c>
      <c r="H129" s="2">
        <v>580</v>
      </c>
      <c r="I129" s="3">
        <v>580</v>
      </c>
      <c r="J129" s="3">
        <v>580</v>
      </c>
      <c r="K129" s="144">
        <v>512</v>
      </c>
      <c r="L129" s="4">
        <v>512</v>
      </c>
      <c r="M129" s="2"/>
      <c r="N129" s="3"/>
      <c r="O129" s="3"/>
      <c r="P129" s="144">
        <v>307</v>
      </c>
      <c r="Q129" s="4">
        <v>289</v>
      </c>
      <c r="R129" s="2">
        <v>10</v>
      </c>
      <c r="S129" s="3">
        <v>10</v>
      </c>
      <c r="T129" s="3">
        <v>15</v>
      </c>
      <c r="U129" s="3">
        <v>15</v>
      </c>
      <c r="V129" s="3">
        <v>15</v>
      </c>
      <c r="W129" s="144">
        <v>22</v>
      </c>
      <c r="X129" s="4">
        <v>19</v>
      </c>
      <c r="Y129" s="5">
        <v>21.6</v>
      </c>
      <c r="Z129" s="3">
        <v>26.56</v>
      </c>
      <c r="AA129" s="3">
        <v>32.19</v>
      </c>
      <c r="AB129" s="144">
        <v>30.58</v>
      </c>
      <c r="AC129" s="3">
        <v>30.58</v>
      </c>
      <c r="AD129" s="144">
        <v>30.58</v>
      </c>
      <c r="AE129" s="144">
        <v>30.58</v>
      </c>
      <c r="AF129" s="19">
        <v>103020</v>
      </c>
      <c r="AG129" s="20">
        <v>103919</v>
      </c>
      <c r="AH129" s="20">
        <v>138708</v>
      </c>
      <c r="AI129" s="20">
        <v>172261</v>
      </c>
      <c r="AJ129" s="20">
        <v>174787</v>
      </c>
      <c r="AK129" s="210">
        <v>178384</v>
      </c>
      <c r="AL129" s="21">
        <v>170513</v>
      </c>
      <c r="AM129" s="19">
        <v>2483</v>
      </c>
      <c r="AN129" s="20">
        <v>5486</v>
      </c>
      <c r="AO129" s="20">
        <v>9690</v>
      </c>
      <c r="AP129" s="20">
        <v>20233</v>
      </c>
      <c r="AQ129" s="20">
        <v>20875</v>
      </c>
      <c r="AR129" s="210">
        <v>23197</v>
      </c>
      <c r="AS129" s="21">
        <v>6990</v>
      </c>
      <c r="AT129" s="50">
        <f t="shared" si="69"/>
        <v>2.4102116093962338E-2</v>
      </c>
      <c r="AU129" s="51">
        <f t="shared" si="70"/>
        <v>5.2791116157776728E-2</v>
      </c>
      <c r="AV129" s="51">
        <f t="shared" si="71"/>
        <v>6.9858984341205993E-2</v>
      </c>
      <c r="AW129" s="51">
        <f t="shared" si="72"/>
        <v>0.11745548905440001</v>
      </c>
      <c r="AX129" s="51">
        <f t="shared" si="73"/>
        <v>0.11943107897040398</v>
      </c>
      <c r="AY129" s="211">
        <f t="shared" si="51"/>
        <v>0.13003968965826532</v>
      </c>
      <c r="AZ129" s="52">
        <f t="shared" si="48"/>
        <v>4.0993941810888321E-2</v>
      </c>
      <c r="BA129" s="50" t="s">
        <v>226</v>
      </c>
      <c r="BB129" s="53">
        <f t="shared" si="56"/>
        <v>2.8689000063814389</v>
      </c>
      <c r="BC129" s="53">
        <f t="shared" si="57"/>
        <v>4.5756868247243654</v>
      </c>
      <c r="BD129" s="53">
        <f t="shared" si="58"/>
        <v>9.3353372960437664</v>
      </c>
      <c r="BE129" s="53">
        <f t="shared" si="59"/>
        <v>9.5328962876441636</v>
      </c>
      <c r="BF129" s="212">
        <f t="shared" si="66"/>
        <v>10.593757356430297</v>
      </c>
      <c r="BG129" s="54">
        <f t="shared" si="49"/>
        <v>1.6891825716925983</v>
      </c>
      <c r="BH129" s="2" t="s">
        <v>226</v>
      </c>
      <c r="BI129" s="55">
        <f t="shared" si="60"/>
        <v>2.8689000063814389</v>
      </c>
      <c r="BJ129" s="55">
        <f t="shared" si="61"/>
        <v>1.7067868183429264</v>
      </c>
      <c r="BK129" s="55">
        <f t="shared" si="62"/>
        <v>4.7596504713194019</v>
      </c>
      <c r="BL129" s="55">
        <f t="shared" si="63"/>
        <v>0.19755899160039669</v>
      </c>
      <c r="BM129" s="213">
        <f t="shared" si="67"/>
        <v>1.0608610687861342</v>
      </c>
      <c r="BN129" s="56">
        <f t="shared" si="52"/>
        <v>-8.904574784737699</v>
      </c>
      <c r="BO129" s="50"/>
      <c r="BP129" s="51"/>
      <c r="BQ129" s="51"/>
      <c r="BR129" s="211">
        <f>W129/P129</f>
        <v>7.1661237785016291E-2</v>
      </c>
      <c r="BS129" s="211">
        <f>X129/Q129</f>
        <v>6.5743944636678195E-2</v>
      </c>
      <c r="BT129" s="57">
        <f t="shared" si="53"/>
        <v>0</v>
      </c>
      <c r="BU129" s="57">
        <f>(Q129-P129)/P129</f>
        <v>-5.8631921824104233E-2</v>
      </c>
    </row>
    <row r="130" spans="1:73" s="16" customFormat="1" x14ac:dyDescent="0.25">
      <c r="A130" s="12">
        <v>61</v>
      </c>
      <c r="B130" s="17" t="s">
        <v>32</v>
      </c>
      <c r="C130" s="2"/>
      <c r="D130" s="3"/>
      <c r="E130" s="3"/>
      <c r="F130" s="144">
        <v>26</v>
      </c>
      <c r="G130" s="4">
        <v>4</v>
      </c>
      <c r="H130" s="2"/>
      <c r="I130" s="3"/>
      <c r="J130" s="3"/>
      <c r="K130" s="144">
        <v>889</v>
      </c>
      <c r="L130" s="4">
        <v>960</v>
      </c>
      <c r="M130" s="2"/>
      <c r="N130" s="3"/>
      <c r="O130" s="3"/>
      <c r="P130" s="144">
        <v>135</v>
      </c>
      <c r="Q130" s="4">
        <v>52</v>
      </c>
      <c r="R130" s="2"/>
      <c r="S130" s="3"/>
      <c r="T130" s="3"/>
      <c r="U130" s="3"/>
      <c r="V130" s="3"/>
      <c r="W130" s="144">
        <v>6</v>
      </c>
      <c r="X130" s="4">
        <v>7</v>
      </c>
      <c r="Y130" s="5"/>
      <c r="Z130" s="3"/>
      <c r="AA130" s="3"/>
      <c r="AB130" s="144"/>
      <c r="AC130" s="3"/>
      <c r="AD130" s="144">
        <v>39.47</v>
      </c>
      <c r="AE130" s="4">
        <v>44.62</v>
      </c>
      <c r="AF130" s="19"/>
      <c r="AG130" s="20"/>
      <c r="AH130" s="20"/>
      <c r="AI130" s="20"/>
      <c r="AJ130" s="20"/>
      <c r="AK130" s="210">
        <v>303522</v>
      </c>
      <c r="AL130" s="21">
        <v>322691</v>
      </c>
      <c r="AM130" s="19"/>
      <c r="AN130" s="20"/>
      <c r="AO130" s="20"/>
      <c r="AP130" s="20"/>
      <c r="AQ130" s="20"/>
      <c r="AR130" s="210">
        <v>20803</v>
      </c>
      <c r="AS130" s="21">
        <v>18668</v>
      </c>
      <c r="AT130" s="50"/>
      <c r="AU130" s="51"/>
      <c r="AV130" s="51"/>
      <c r="AW130" s="51"/>
      <c r="AX130" s="51"/>
      <c r="AY130" s="211">
        <f t="shared" si="51"/>
        <v>6.8538689123028976E-2</v>
      </c>
      <c r="AZ130" s="52">
        <f t="shared" si="48"/>
        <v>5.7851009169763025E-2</v>
      </c>
      <c r="BA130" s="50"/>
      <c r="BB130" s="53"/>
      <c r="BC130" s="53"/>
      <c r="BD130" s="53"/>
      <c r="BE130" s="53"/>
      <c r="BF130" s="212"/>
      <c r="BG130" s="54"/>
      <c r="BH130" s="2"/>
      <c r="BI130" s="55"/>
      <c r="BJ130" s="55"/>
      <c r="BK130" s="55"/>
      <c r="BL130" s="55"/>
      <c r="BM130" s="213"/>
      <c r="BN130" s="56">
        <f t="shared" si="52"/>
        <v>-1.0687679953265952</v>
      </c>
      <c r="BO130" s="50"/>
      <c r="BP130" s="51"/>
      <c r="BQ130" s="51"/>
      <c r="BR130" s="211">
        <f>W130/P130</f>
        <v>4.4444444444444446E-2</v>
      </c>
      <c r="BS130" s="211">
        <f>X130/Q130</f>
        <v>0.13461538461538461</v>
      </c>
      <c r="BT130" s="57">
        <f t="shared" si="53"/>
        <v>0.13047884469217125</v>
      </c>
      <c r="BU130" s="57">
        <f>(Q130-P130)/P130</f>
        <v>-0.61481481481481481</v>
      </c>
    </row>
    <row r="131" spans="1:73" s="9" customFormat="1" x14ac:dyDescent="0.25">
      <c r="A131" s="12"/>
      <c r="B131" s="17" t="s">
        <v>347</v>
      </c>
      <c r="C131" s="2"/>
      <c r="D131" s="3"/>
      <c r="E131" s="3"/>
      <c r="F131" s="144">
        <v>1</v>
      </c>
      <c r="G131" s="4">
        <v>1</v>
      </c>
      <c r="H131" s="2"/>
      <c r="I131" s="3"/>
      <c r="J131" s="3"/>
      <c r="K131" s="144">
        <v>519</v>
      </c>
      <c r="L131" s="4">
        <v>519</v>
      </c>
      <c r="M131" s="2"/>
      <c r="N131" s="3"/>
      <c r="O131" s="3"/>
      <c r="P131" s="144">
        <v>87</v>
      </c>
      <c r="Q131" s="4">
        <v>80</v>
      </c>
      <c r="R131" s="2"/>
      <c r="S131" s="3"/>
      <c r="T131" s="3"/>
      <c r="U131" s="3"/>
      <c r="V131" s="3"/>
      <c r="W131" s="144">
        <v>10</v>
      </c>
      <c r="X131" s="4">
        <v>11</v>
      </c>
      <c r="Y131" s="2"/>
      <c r="Z131" s="3"/>
      <c r="AA131" s="3"/>
      <c r="AB131" s="144"/>
      <c r="AC131" s="3"/>
      <c r="AD131" s="153">
        <v>42.98</v>
      </c>
      <c r="AE131" s="86">
        <v>44.87</v>
      </c>
      <c r="AF131" s="19"/>
      <c r="AG131" s="20"/>
      <c r="AH131" s="20"/>
      <c r="AI131" s="20"/>
      <c r="AJ131" s="20"/>
      <c r="AK131" s="210">
        <v>203872</v>
      </c>
      <c r="AL131" s="21">
        <v>277086</v>
      </c>
      <c r="AM131" s="19"/>
      <c r="AN131" s="20"/>
      <c r="AO131" s="20"/>
      <c r="AP131" s="20"/>
      <c r="AQ131" s="20"/>
      <c r="AR131" s="210">
        <v>44453</v>
      </c>
      <c r="AS131" s="21">
        <v>73982</v>
      </c>
      <c r="AT131" s="50"/>
      <c r="AU131" s="51"/>
      <c r="AV131" s="51"/>
      <c r="AW131" s="51"/>
      <c r="AX131" s="51"/>
      <c r="AY131" s="211">
        <f t="shared" si="51"/>
        <v>0.21804367446240777</v>
      </c>
      <c r="AZ131" s="52">
        <f t="shared" si="48"/>
        <v>0.26700013714153731</v>
      </c>
      <c r="BA131" s="50" t="s">
        <v>226</v>
      </c>
      <c r="BB131" s="53"/>
      <c r="BC131" s="53"/>
      <c r="BD131" s="53"/>
      <c r="BE131" s="53"/>
      <c r="BF131" s="212"/>
      <c r="BG131" s="54"/>
      <c r="BH131" s="2" t="s">
        <v>226</v>
      </c>
      <c r="BI131" s="55"/>
      <c r="BJ131" s="55"/>
      <c r="BK131" s="55"/>
      <c r="BL131" s="55"/>
      <c r="BM131" s="213"/>
      <c r="BN131" s="56">
        <f t="shared" si="52"/>
        <v>4.8956462679129533</v>
      </c>
      <c r="BO131" s="50"/>
      <c r="BP131" s="51"/>
      <c r="BQ131" s="51"/>
      <c r="BR131" s="211">
        <f>W131/P131</f>
        <v>0.11494252873563218</v>
      </c>
      <c r="BS131" s="211">
        <f>X131/Q131</f>
        <v>0.13750000000000001</v>
      </c>
      <c r="BT131" s="57">
        <f t="shared" si="53"/>
        <v>4.3973941368078195E-2</v>
      </c>
      <c r="BU131" s="57">
        <f>(Q131-P131)/P131</f>
        <v>-8.0459770114942528E-2</v>
      </c>
    </row>
    <row r="132" spans="1:73" x14ac:dyDescent="0.25">
      <c r="A132" s="15">
        <v>62</v>
      </c>
      <c r="B132" s="74" t="s">
        <v>33</v>
      </c>
      <c r="C132" s="246"/>
      <c r="D132" s="75"/>
      <c r="E132" s="75"/>
      <c r="F132" s="146"/>
      <c r="G132" s="76"/>
      <c r="H132" s="246"/>
      <c r="I132" s="75"/>
      <c r="J132" s="75"/>
      <c r="K132" s="146"/>
      <c r="L132" s="76"/>
      <c r="M132" s="246"/>
      <c r="N132" s="75"/>
      <c r="O132" s="75"/>
      <c r="P132" s="146"/>
      <c r="Q132" s="76"/>
      <c r="R132" s="246"/>
      <c r="S132" s="75"/>
      <c r="T132" s="75"/>
      <c r="U132" s="75"/>
      <c r="V132" s="75"/>
      <c r="W132" s="146"/>
      <c r="X132" s="76"/>
      <c r="Y132" s="246"/>
      <c r="Z132" s="75"/>
      <c r="AA132" s="75"/>
      <c r="AB132" s="146"/>
      <c r="AC132" s="75"/>
      <c r="AD132" s="258"/>
      <c r="AE132" s="160"/>
      <c r="AF132" s="271"/>
      <c r="AG132" s="77"/>
      <c r="AH132" s="77"/>
      <c r="AI132" s="77"/>
      <c r="AJ132" s="77"/>
      <c r="AK132" s="265"/>
      <c r="AL132" s="78"/>
      <c r="AM132" s="271"/>
      <c r="AN132" s="77"/>
      <c r="AO132" s="77"/>
      <c r="AP132" s="77"/>
      <c r="AQ132" s="77"/>
      <c r="AR132" s="265"/>
      <c r="AS132" s="78"/>
      <c r="AT132" s="277"/>
      <c r="AU132" s="79"/>
      <c r="AV132" s="79"/>
      <c r="AW132" s="79"/>
      <c r="AX132" s="79"/>
      <c r="AY132" s="274"/>
      <c r="AZ132" s="80"/>
      <c r="BA132" s="277" t="s">
        <v>226</v>
      </c>
      <c r="BB132" s="81"/>
      <c r="BC132" s="81"/>
      <c r="BD132" s="81"/>
      <c r="BE132" s="81"/>
      <c r="BF132" s="282"/>
      <c r="BG132" s="82"/>
      <c r="BH132" s="246" t="s">
        <v>226</v>
      </c>
      <c r="BI132" s="83"/>
      <c r="BJ132" s="83"/>
      <c r="BK132" s="83"/>
      <c r="BL132" s="83"/>
      <c r="BM132" s="286"/>
      <c r="BN132" s="84"/>
      <c r="BO132" s="277"/>
      <c r="BP132" s="79"/>
      <c r="BQ132" s="79"/>
      <c r="BR132" s="274"/>
      <c r="BS132" s="274"/>
      <c r="BT132" s="419"/>
      <c r="BU132" s="419"/>
    </row>
    <row r="133" spans="1:73" s="14" customFormat="1" x14ac:dyDescent="0.25">
      <c r="A133" s="13">
        <v>63</v>
      </c>
      <c r="B133" s="59" t="s">
        <v>34</v>
      </c>
      <c r="C133" s="60">
        <v>4</v>
      </c>
      <c r="D133" s="61">
        <v>4</v>
      </c>
      <c r="E133" s="61">
        <v>4</v>
      </c>
      <c r="F133" s="145">
        <v>4</v>
      </c>
      <c r="G133" s="62">
        <v>4</v>
      </c>
      <c r="H133" s="60">
        <v>43</v>
      </c>
      <c r="I133" s="61">
        <v>42</v>
      </c>
      <c r="J133" s="61">
        <v>42</v>
      </c>
      <c r="K133" s="145">
        <v>41</v>
      </c>
      <c r="L133" s="62">
        <v>41</v>
      </c>
      <c r="M133" s="60">
        <v>14</v>
      </c>
      <c r="N133" s="61">
        <v>30</v>
      </c>
      <c r="O133" s="61">
        <v>31</v>
      </c>
      <c r="P133" s="145">
        <v>30</v>
      </c>
      <c r="Q133" s="62">
        <v>31</v>
      </c>
      <c r="R133" s="60">
        <v>0</v>
      </c>
      <c r="S133" s="61">
        <v>0</v>
      </c>
      <c r="T133" s="61">
        <v>14</v>
      </c>
      <c r="U133" s="61">
        <v>3</v>
      </c>
      <c r="V133" s="61">
        <v>6</v>
      </c>
      <c r="W133" s="145">
        <v>16</v>
      </c>
      <c r="X133" s="62">
        <v>8</v>
      </c>
      <c r="Y133" s="60">
        <v>19.63</v>
      </c>
      <c r="Z133" s="61">
        <v>20.66</v>
      </c>
      <c r="AA133" s="61">
        <v>25.14</v>
      </c>
      <c r="AB133" s="145">
        <v>25.14</v>
      </c>
      <c r="AC133" s="61">
        <v>26.22</v>
      </c>
      <c r="AD133" s="152">
        <v>27.3</v>
      </c>
      <c r="AE133" s="152">
        <v>27.3</v>
      </c>
      <c r="AF133" s="270">
        <v>35784</v>
      </c>
      <c r="AG133" s="65">
        <v>40174</v>
      </c>
      <c r="AH133" s="65">
        <v>33080</v>
      </c>
      <c r="AI133" s="65">
        <v>36801</v>
      </c>
      <c r="AJ133" s="65">
        <v>49957</v>
      </c>
      <c r="AK133" s="196">
        <v>51496.44</v>
      </c>
      <c r="AL133" s="66">
        <v>42015.47</v>
      </c>
      <c r="AM133" s="270">
        <v>8321</v>
      </c>
      <c r="AN133" s="65">
        <v>7499</v>
      </c>
      <c r="AO133" s="65">
        <v>5471</v>
      </c>
      <c r="AP133" s="65">
        <v>7226</v>
      </c>
      <c r="AQ133" s="65">
        <v>12599</v>
      </c>
      <c r="AR133" s="196">
        <v>12911.45</v>
      </c>
      <c r="AS133" s="66">
        <v>12350.82</v>
      </c>
      <c r="AT133" s="276">
        <f>AM133/AF133</f>
        <v>0.23253409344958642</v>
      </c>
      <c r="AU133" s="67">
        <f>AN133/AG133</f>
        <v>0.18666301588091799</v>
      </c>
      <c r="AV133" s="67">
        <f>AO133/AH133</f>
        <v>0.1653869407496977</v>
      </c>
      <c r="AW133" s="67">
        <f>AP133/AI133</f>
        <v>0.19635335996304448</v>
      </c>
      <c r="AX133" s="67">
        <f>AQ133/AJ133</f>
        <v>0.25219688932481932</v>
      </c>
      <c r="AY133" s="190">
        <f t="shared" si="51"/>
        <v>0.25072509866701465</v>
      </c>
      <c r="AZ133" s="68">
        <f t="shared" si="48"/>
        <v>0.29395886800742677</v>
      </c>
      <c r="BA133" s="276" t="s">
        <v>226</v>
      </c>
      <c r="BB133" s="69">
        <f>(AU133-$AT133)*100</f>
        <v>-4.5871077568668426</v>
      </c>
      <c r="BC133" s="69">
        <f>(AV133-$AT133)*100</f>
        <v>-6.7147152699888721</v>
      </c>
      <c r="BD133" s="69">
        <f>(AW133-$AT133)*100</f>
        <v>-3.6180733486541938</v>
      </c>
      <c r="BE133" s="69">
        <f>(AX133-$AT133)*100</f>
        <v>1.9662795875232897</v>
      </c>
      <c r="BF133" s="199">
        <f t="shared" si="66"/>
        <v>1.8191005217428224</v>
      </c>
      <c r="BG133" s="70">
        <f t="shared" si="49"/>
        <v>6.142477455784034</v>
      </c>
      <c r="BH133" s="60" t="s">
        <v>226</v>
      </c>
      <c r="BI133" s="71">
        <f>(AU133-AT133)*100</f>
        <v>-4.5871077568668426</v>
      </c>
      <c r="BJ133" s="71">
        <f>(AV133-AU133)*100</f>
        <v>-2.1276075131220291</v>
      </c>
      <c r="BK133" s="71">
        <f>(AW133-AV133)*100</f>
        <v>3.0966419213346779</v>
      </c>
      <c r="BL133" s="71">
        <f>(AX133-AW133)*100</f>
        <v>5.5843529361774831</v>
      </c>
      <c r="BM133" s="200">
        <f t="shared" si="67"/>
        <v>-0.14717906578046724</v>
      </c>
      <c r="BN133" s="72">
        <f t="shared" si="52"/>
        <v>4.323376934041212</v>
      </c>
      <c r="BO133" s="276">
        <f t="shared" ref="BO133:BS134" si="81">T133/M133</f>
        <v>1</v>
      </c>
      <c r="BP133" s="67">
        <f t="shared" si="81"/>
        <v>0.1</v>
      </c>
      <c r="BQ133" s="67">
        <f t="shared" si="81"/>
        <v>0.19354838709677419</v>
      </c>
      <c r="BR133" s="190">
        <f t="shared" si="81"/>
        <v>0.53333333333333333</v>
      </c>
      <c r="BS133" s="190">
        <f t="shared" si="81"/>
        <v>0.25806451612903225</v>
      </c>
      <c r="BT133" s="73">
        <f t="shared" si="53"/>
        <v>0</v>
      </c>
      <c r="BU133" s="73">
        <f>(Q133-P133)/P133</f>
        <v>3.3333333333333333E-2</v>
      </c>
    </row>
    <row r="134" spans="1:73" s="11" customFormat="1" x14ac:dyDescent="0.25">
      <c r="A134" s="10">
        <v>64</v>
      </c>
      <c r="B134" s="33" t="s">
        <v>170</v>
      </c>
      <c r="C134" s="34">
        <v>1</v>
      </c>
      <c r="D134" s="35">
        <v>1</v>
      </c>
      <c r="E134" s="35">
        <v>1</v>
      </c>
      <c r="F134" s="93">
        <v>0</v>
      </c>
      <c r="G134" s="36">
        <v>4</v>
      </c>
      <c r="H134" s="34">
        <v>18</v>
      </c>
      <c r="I134" s="35">
        <v>18</v>
      </c>
      <c r="J134" s="35">
        <v>18</v>
      </c>
      <c r="K134" s="93">
        <v>18</v>
      </c>
      <c r="L134" s="36">
        <v>0</v>
      </c>
      <c r="M134" s="34">
        <v>4</v>
      </c>
      <c r="N134" s="35">
        <v>3</v>
      </c>
      <c r="O134" s="35">
        <v>5</v>
      </c>
      <c r="P134" s="93">
        <v>6</v>
      </c>
      <c r="Q134" s="36">
        <v>17</v>
      </c>
      <c r="R134" s="34">
        <v>0</v>
      </c>
      <c r="S134" s="35">
        <v>0</v>
      </c>
      <c r="T134" s="35">
        <v>0</v>
      </c>
      <c r="U134" s="35">
        <v>0</v>
      </c>
      <c r="V134" s="35">
        <v>0</v>
      </c>
      <c r="W134" s="93">
        <v>0</v>
      </c>
      <c r="X134" s="36">
        <v>0</v>
      </c>
      <c r="Y134" s="34">
        <v>7.77</v>
      </c>
      <c r="Z134" s="35">
        <v>15.94</v>
      </c>
      <c r="AA134" s="35">
        <v>18.97</v>
      </c>
      <c r="AB134" s="93">
        <v>15.44</v>
      </c>
      <c r="AC134" s="35">
        <v>15.44</v>
      </c>
      <c r="AD134" s="93">
        <v>15.44</v>
      </c>
      <c r="AE134" s="93">
        <v>15.44</v>
      </c>
      <c r="AF134" s="38">
        <v>3485.27</v>
      </c>
      <c r="AG134" s="39">
        <v>3474.25</v>
      </c>
      <c r="AH134" s="39">
        <v>5561.03</v>
      </c>
      <c r="AI134" s="39">
        <v>6337.48</v>
      </c>
      <c r="AJ134" s="39">
        <v>5866.46</v>
      </c>
      <c r="AK134" s="182">
        <v>10535.15</v>
      </c>
      <c r="AL134" s="40">
        <v>12828</v>
      </c>
      <c r="AM134" s="38">
        <v>449.39</v>
      </c>
      <c r="AN134" s="39">
        <v>447.02</v>
      </c>
      <c r="AO134" s="39">
        <v>390.25</v>
      </c>
      <c r="AP134" s="39">
        <v>437.16</v>
      </c>
      <c r="AQ134" s="39">
        <v>554.62</v>
      </c>
      <c r="AR134" s="182">
        <v>679.35</v>
      </c>
      <c r="AS134" s="40">
        <v>1566</v>
      </c>
      <c r="AT134" s="41">
        <f t="shared" si="69"/>
        <v>0.12893979519520726</v>
      </c>
      <c r="AU134" s="42">
        <f t="shared" si="70"/>
        <v>0.12866661869468229</v>
      </c>
      <c r="AV134" s="42">
        <f t="shared" si="71"/>
        <v>7.017584871867262E-2</v>
      </c>
      <c r="AW134" s="42">
        <f t="shared" si="72"/>
        <v>6.8980099345481174E-2</v>
      </c>
      <c r="AX134" s="42">
        <f t="shared" si="73"/>
        <v>9.4540830415616908E-2</v>
      </c>
      <c r="AY134" s="183">
        <f t="shared" si="51"/>
        <v>6.448413169247709E-2</v>
      </c>
      <c r="AZ134" s="43">
        <f t="shared" si="48"/>
        <v>0.12207670720299345</v>
      </c>
      <c r="BA134" s="41" t="s">
        <v>226</v>
      </c>
      <c r="BB134" s="44">
        <f t="shared" si="56"/>
        <v>-2.7317650052496867E-2</v>
      </c>
      <c r="BC134" s="44">
        <f t="shared" si="57"/>
        <v>-5.8763946476534645</v>
      </c>
      <c r="BD134" s="44">
        <f t="shared" si="58"/>
        <v>-5.9959695849726087</v>
      </c>
      <c r="BE134" s="44">
        <f t="shared" si="59"/>
        <v>-3.4398964779590355</v>
      </c>
      <c r="BF134" s="184">
        <f t="shared" si="66"/>
        <v>-6.4455663502730172</v>
      </c>
      <c r="BG134" s="45">
        <f t="shared" si="49"/>
        <v>-0.68630879922138144</v>
      </c>
      <c r="BH134" s="34" t="s">
        <v>226</v>
      </c>
      <c r="BI134" s="46">
        <f t="shared" si="60"/>
        <v>-2.7317650052496867E-2</v>
      </c>
      <c r="BJ134" s="46">
        <f t="shared" si="61"/>
        <v>-5.8490769976009673</v>
      </c>
      <c r="BK134" s="46">
        <f t="shared" si="62"/>
        <v>-0.11957493731914459</v>
      </c>
      <c r="BL134" s="46">
        <f t="shared" si="63"/>
        <v>2.5560731070135736</v>
      </c>
      <c r="BM134" s="185">
        <f t="shared" si="67"/>
        <v>-3.0056698723139821</v>
      </c>
      <c r="BN134" s="47">
        <f t="shared" si="52"/>
        <v>5.7592575510516362</v>
      </c>
      <c r="BO134" s="41">
        <f t="shared" si="81"/>
        <v>0</v>
      </c>
      <c r="BP134" s="42">
        <f t="shared" si="81"/>
        <v>0</v>
      </c>
      <c r="BQ134" s="42">
        <f t="shared" si="81"/>
        <v>0</v>
      </c>
      <c r="BR134" s="183">
        <f t="shared" si="81"/>
        <v>0</v>
      </c>
      <c r="BS134" s="183">
        <f t="shared" si="81"/>
        <v>0</v>
      </c>
      <c r="BT134" s="48">
        <f t="shared" si="53"/>
        <v>0</v>
      </c>
      <c r="BU134" s="48">
        <f>(Q134-P134)/P134</f>
        <v>1.8333333333333333</v>
      </c>
    </row>
    <row r="135" spans="1:73" s="14" customFormat="1" x14ac:dyDescent="0.25">
      <c r="A135" s="13"/>
      <c r="B135" s="59" t="s">
        <v>169</v>
      </c>
      <c r="C135" s="60">
        <v>3</v>
      </c>
      <c r="D135" s="61">
        <v>3</v>
      </c>
      <c r="E135" s="61">
        <v>3</v>
      </c>
      <c r="F135" s="145">
        <v>3</v>
      </c>
      <c r="G135" s="62"/>
      <c r="H135" s="60">
        <v>62</v>
      </c>
      <c r="I135" s="61">
        <v>64</v>
      </c>
      <c r="J135" s="61">
        <v>68</v>
      </c>
      <c r="K135" s="145">
        <v>70</v>
      </c>
      <c r="L135" s="62"/>
      <c r="M135" s="60">
        <v>12</v>
      </c>
      <c r="N135" s="61">
        <v>15</v>
      </c>
      <c r="O135" s="61">
        <v>8</v>
      </c>
      <c r="P135" s="145">
        <v>9</v>
      </c>
      <c r="Q135" s="62"/>
      <c r="R135" s="60">
        <v>0</v>
      </c>
      <c r="S135" s="61">
        <v>0</v>
      </c>
      <c r="T135" s="61">
        <v>0</v>
      </c>
      <c r="U135" s="61">
        <v>0</v>
      </c>
      <c r="V135" s="61">
        <v>0</v>
      </c>
      <c r="W135" s="145">
        <v>0</v>
      </c>
      <c r="X135" s="62"/>
      <c r="Y135" s="60">
        <v>21.15</v>
      </c>
      <c r="Z135" s="61">
        <v>21.12</v>
      </c>
      <c r="AA135" s="61">
        <v>27.32</v>
      </c>
      <c r="AB135" s="145">
        <v>20.7</v>
      </c>
      <c r="AC135" s="61">
        <v>20.32</v>
      </c>
      <c r="AD135" s="152">
        <v>20.6</v>
      </c>
      <c r="AE135" s="64"/>
      <c r="AF135" s="270">
        <v>8122</v>
      </c>
      <c r="AG135" s="65">
        <v>8680</v>
      </c>
      <c r="AH135" s="65">
        <v>8698</v>
      </c>
      <c r="AI135" s="65">
        <v>8280</v>
      </c>
      <c r="AJ135" s="65">
        <v>7728</v>
      </c>
      <c r="AK135" s="196">
        <v>7820</v>
      </c>
      <c r="AL135" s="66"/>
      <c r="AM135" s="270">
        <v>1292</v>
      </c>
      <c r="AN135" s="65">
        <v>1380</v>
      </c>
      <c r="AO135" s="65">
        <v>1410</v>
      </c>
      <c r="AP135" s="65">
        <v>1440</v>
      </c>
      <c r="AQ135" s="65">
        <v>775</v>
      </c>
      <c r="AR135" s="196">
        <v>367</v>
      </c>
      <c r="AS135" s="66"/>
      <c r="AT135" s="276">
        <f t="shared" si="69"/>
        <v>0.15907411967495691</v>
      </c>
      <c r="AU135" s="67">
        <f t="shared" si="70"/>
        <v>0.15898617511520738</v>
      </c>
      <c r="AV135" s="67">
        <f t="shared" si="71"/>
        <v>0.16210623131754426</v>
      </c>
      <c r="AW135" s="67">
        <f t="shared" si="72"/>
        <v>0.17391304347826086</v>
      </c>
      <c r="AX135" s="67">
        <f t="shared" si="73"/>
        <v>0.10028467908902691</v>
      </c>
      <c r="AY135" s="190">
        <f t="shared" si="51"/>
        <v>4.6930946291560104E-2</v>
      </c>
      <c r="AZ135" s="68"/>
      <c r="BA135" s="276" t="s">
        <v>226</v>
      </c>
      <c r="BB135" s="69">
        <f t="shared" si="56"/>
        <v>-8.7944559749530971E-3</v>
      </c>
      <c r="BC135" s="69">
        <f t="shared" si="57"/>
        <v>0.30321116425873484</v>
      </c>
      <c r="BD135" s="69">
        <f t="shared" si="58"/>
        <v>1.4838923803303956</v>
      </c>
      <c r="BE135" s="69">
        <f t="shared" si="59"/>
        <v>-5.8789440585929995</v>
      </c>
      <c r="BF135" s="199">
        <f t="shared" si="66"/>
        <v>-11.214317338339679</v>
      </c>
      <c r="BG135" s="70"/>
      <c r="BH135" s="60" t="s">
        <v>226</v>
      </c>
      <c r="BI135" s="71">
        <f t="shared" si="60"/>
        <v>-8.7944559749530971E-3</v>
      </c>
      <c r="BJ135" s="71">
        <f t="shared" si="61"/>
        <v>0.31200562023368794</v>
      </c>
      <c r="BK135" s="71">
        <f t="shared" si="62"/>
        <v>1.1806812160716607</v>
      </c>
      <c r="BL135" s="71">
        <f t="shared" si="63"/>
        <v>-7.3628364389233951</v>
      </c>
      <c r="BM135" s="200">
        <f t="shared" si="67"/>
        <v>-5.3353732797466806</v>
      </c>
      <c r="BN135" s="72"/>
      <c r="BO135" s="276">
        <f t="shared" ref="BO135:BR139" si="82">T135/M135</f>
        <v>0</v>
      </c>
      <c r="BP135" s="67">
        <f t="shared" si="82"/>
        <v>0</v>
      </c>
      <c r="BQ135" s="67">
        <f t="shared" si="82"/>
        <v>0</v>
      </c>
      <c r="BR135" s="190">
        <f t="shared" si="82"/>
        <v>0</v>
      </c>
      <c r="BS135" s="190"/>
      <c r="BT135" s="73"/>
      <c r="BU135" s="73"/>
    </row>
    <row r="136" spans="1:73" s="14" customFormat="1" x14ac:dyDescent="0.25">
      <c r="A136" s="13">
        <v>65</v>
      </c>
      <c r="B136" s="59" t="s">
        <v>35</v>
      </c>
      <c r="C136" s="60">
        <v>0</v>
      </c>
      <c r="D136" s="61">
        <v>0</v>
      </c>
      <c r="E136" s="61">
        <v>0</v>
      </c>
      <c r="F136" s="145">
        <v>0</v>
      </c>
      <c r="G136" s="62">
        <v>0</v>
      </c>
      <c r="H136" s="60">
        <v>310</v>
      </c>
      <c r="I136" s="61">
        <v>313</v>
      </c>
      <c r="J136" s="61">
        <v>315</v>
      </c>
      <c r="K136" s="145">
        <v>340</v>
      </c>
      <c r="L136" s="62">
        <v>330</v>
      </c>
      <c r="M136" s="60">
        <v>139</v>
      </c>
      <c r="N136" s="61">
        <v>146</v>
      </c>
      <c r="O136" s="61">
        <v>148</v>
      </c>
      <c r="P136" s="145">
        <v>125</v>
      </c>
      <c r="Q136" s="62">
        <v>108</v>
      </c>
      <c r="R136" s="60">
        <v>0</v>
      </c>
      <c r="S136" s="61">
        <v>0</v>
      </c>
      <c r="T136" s="61">
        <v>0</v>
      </c>
      <c r="U136" s="61">
        <v>0</v>
      </c>
      <c r="V136" s="61">
        <v>0</v>
      </c>
      <c r="W136" s="145">
        <v>7</v>
      </c>
      <c r="X136" s="62">
        <v>7</v>
      </c>
      <c r="Y136" s="60" t="s">
        <v>171</v>
      </c>
      <c r="Z136" s="61" t="s">
        <v>151</v>
      </c>
      <c r="AA136" s="61" t="s">
        <v>151</v>
      </c>
      <c r="AB136" s="145" t="s">
        <v>151</v>
      </c>
      <c r="AC136" s="61" t="s">
        <v>151</v>
      </c>
      <c r="AD136" s="145" t="s">
        <v>151</v>
      </c>
      <c r="AE136" s="145" t="s">
        <v>380</v>
      </c>
      <c r="AF136" s="270">
        <v>53719</v>
      </c>
      <c r="AG136" s="65">
        <v>52774</v>
      </c>
      <c r="AH136" s="65">
        <v>65850</v>
      </c>
      <c r="AI136" s="65">
        <v>63722</v>
      </c>
      <c r="AJ136" s="65">
        <v>67210</v>
      </c>
      <c r="AK136" s="196">
        <v>66758.55</v>
      </c>
      <c r="AL136" s="66">
        <v>66725</v>
      </c>
      <c r="AM136" s="270">
        <v>2650</v>
      </c>
      <c r="AN136" s="65">
        <v>-4845</v>
      </c>
      <c r="AO136" s="65">
        <v>634</v>
      </c>
      <c r="AP136" s="65">
        <v>-2447</v>
      </c>
      <c r="AQ136" s="65">
        <v>8147</v>
      </c>
      <c r="AR136" s="196">
        <v>1570.22</v>
      </c>
      <c r="AS136" s="66">
        <v>2442</v>
      </c>
      <c r="AT136" s="276">
        <f t="shared" si="69"/>
        <v>4.9330776820119514E-2</v>
      </c>
      <c r="AU136" s="67">
        <f t="shared" si="70"/>
        <v>-9.1806571417743579E-2</v>
      </c>
      <c r="AV136" s="67">
        <f t="shared" si="71"/>
        <v>9.6279422930903562E-3</v>
      </c>
      <c r="AW136" s="67">
        <f t="shared" si="72"/>
        <v>-3.8401180126173065E-2</v>
      </c>
      <c r="AX136" s="67">
        <f t="shared" si="73"/>
        <v>0.12121708079154887</v>
      </c>
      <c r="AY136" s="190">
        <f t="shared" ref="AY136:AY198" si="83">AR136/AK136</f>
        <v>2.3520882343909505E-2</v>
      </c>
      <c r="AZ136" s="68">
        <f t="shared" ref="AZ136:AZ197" si="84">AS136/AL136</f>
        <v>3.6597976770325967E-2</v>
      </c>
      <c r="BA136" s="276" t="s">
        <v>226</v>
      </c>
      <c r="BB136" s="69">
        <f t="shared" si="56"/>
        <v>-14.113734823786309</v>
      </c>
      <c r="BC136" s="69">
        <f t="shared" si="57"/>
        <v>-3.9702834527029154</v>
      </c>
      <c r="BD136" s="69">
        <f t="shared" si="58"/>
        <v>-8.7731956946292566</v>
      </c>
      <c r="BE136" s="69">
        <f t="shared" si="59"/>
        <v>7.1886303971429371</v>
      </c>
      <c r="BF136" s="199">
        <f t="shared" si="66"/>
        <v>-2.5809894476210009</v>
      </c>
      <c r="BG136" s="70">
        <f t="shared" ref="BG136:BG197" si="85">(AZ136-$AT136)*100</f>
        <v>-1.2732800049793547</v>
      </c>
      <c r="BH136" s="60" t="s">
        <v>226</v>
      </c>
      <c r="BI136" s="71">
        <f t="shared" si="60"/>
        <v>-14.113734823786309</v>
      </c>
      <c r="BJ136" s="71">
        <f t="shared" si="61"/>
        <v>10.143451371083394</v>
      </c>
      <c r="BK136" s="71">
        <f t="shared" si="62"/>
        <v>-4.8029122419263421</v>
      </c>
      <c r="BL136" s="71">
        <f t="shared" si="63"/>
        <v>15.961826091772194</v>
      </c>
      <c r="BM136" s="200">
        <f t="shared" si="67"/>
        <v>-9.7696198447639375</v>
      </c>
      <c r="BN136" s="72">
        <f t="shared" ref="BM136:BN196" si="86">(AZ136-AY136)*100</f>
        <v>1.3077094426416462</v>
      </c>
      <c r="BO136" s="276">
        <f t="shared" si="82"/>
        <v>0</v>
      </c>
      <c r="BP136" s="67">
        <f t="shared" si="82"/>
        <v>0</v>
      </c>
      <c r="BQ136" s="67">
        <f t="shared" si="82"/>
        <v>0</v>
      </c>
      <c r="BR136" s="190">
        <f t="shared" si="82"/>
        <v>5.6000000000000001E-2</v>
      </c>
      <c r="BS136" s="190">
        <f>X136/Q136</f>
        <v>6.4814814814814811E-2</v>
      </c>
      <c r="BT136" s="73"/>
      <c r="BU136" s="73">
        <f>(Q136-P136)/P136</f>
        <v>-0.13600000000000001</v>
      </c>
    </row>
    <row r="137" spans="1:73" s="9" customFormat="1" x14ac:dyDescent="0.25">
      <c r="A137" s="12">
        <v>66</v>
      </c>
      <c r="B137" s="17" t="s">
        <v>211</v>
      </c>
      <c r="C137" s="2">
        <v>156</v>
      </c>
      <c r="D137" s="3">
        <v>156</v>
      </c>
      <c r="E137" s="3">
        <v>155</v>
      </c>
      <c r="F137" s="144">
        <v>8</v>
      </c>
      <c r="G137" s="4">
        <v>10</v>
      </c>
      <c r="H137" s="2">
        <v>7234</v>
      </c>
      <c r="I137" s="3">
        <v>7233</v>
      </c>
      <c r="J137" s="3">
        <v>7231</v>
      </c>
      <c r="K137" s="144">
        <v>7122</v>
      </c>
      <c r="L137" s="4">
        <v>7270</v>
      </c>
      <c r="M137" s="2">
        <v>2615</v>
      </c>
      <c r="N137" s="3">
        <v>3949</v>
      </c>
      <c r="O137" s="3">
        <v>4875</v>
      </c>
      <c r="P137" s="144">
        <v>2400</v>
      </c>
      <c r="Q137" s="4">
        <v>2314</v>
      </c>
      <c r="R137" s="2">
        <v>171</v>
      </c>
      <c r="S137" s="3">
        <v>131</v>
      </c>
      <c r="T137" s="3">
        <v>126</v>
      </c>
      <c r="U137" s="3">
        <v>176</v>
      </c>
      <c r="V137" s="3">
        <v>150</v>
      </c>
      <c r="W137" s="144">
        <v>210</v>
      </c>
      <c r="X137" s="4">
        <v>221</v>
      </c>
      <c r="Y137" s="2" t="s">
        <v>212</v>
      </c>
      <c r="Z137" s="3" t="s">
        <v>213</v>
      </c>
      <c r="AA137" s="3" t="s">
        <v>214</v>
      </c>
      <c r="AB137" s="144" t="s">
        <v>215</v>
      </c>
      <c r="AC137" s="3" t="s">
        <v>216</v>
      </c>
      <c r="AD137" s="153">
        <v>33.89</v>
      </c>
      <c r="AE137" s="153">
        <v>33.89</v>
      </c>
      <c r="AF137" s="19"/>
      <c r="AG137" s="20">
        <v>1978339</v>
      </c>
      <c r="AH137" s="20">
        <v>2665919</v>
      </c>
      <c r="AI137" s="20">
        <v>3688872</v>
      </c>
      <c r="AJ137" s="20">
        <v>2757041</v>
      </c>
      <c r="AK137" s="210">
        <v>3088465</v>
      </c>
      <c r="AL137" s="21">
        <v>2595935</v>
      </c>
      <c r="AM137" s="19"/>
      <c r="AN137" s="20">
        <v>61840</v>
      </c>
      <c r="AO137" s="20">
        <v>101500</v>
      </c>
      <c r="AP137" s="20">
        <v>275970</v>
      </c>
      <c r="AQ137" s="20">
        <v>343724</v>
      </c>
      <c r="AR137" s="210">
        <v>494575</v>
      </c>
      <c r="AS137" s="21">
        <v>488371</v>
      </c>
      <c r="AT137" s="50"/>
      <c r="AU137" s="51">
        <f t="shared" si="70"/>
        <v>3.1258545678976152E-2</v>
      </c>
      <c r="AV137" s="51">
        <f t="shared" si="71"/>
        <v>3.8073174766375124E-2</v>
      </c>
      <c r="AW137" s="51">
        <f t="shared" si="72"/>
        <v>7.481148708873607E-2</v>
      </c>
      <c r="AX137" s="51">
        <f t="shared" si="73"/>
        <v>0.1246713414853098</v>
      </c>
      <c r="AY137" s="211">
        <f t="shared" si="83"/>
        <v>0.16013618415620703</v>
      </c>
      <c r="AZ137" s="52">
        <f t="shared" si="84"/>
        <v>0.18812913266318301</v>
      </c>
      <c r="BA137" s="50" t="s">
        <v>226</v>
      </c>
      <c r="BB137" s="53"/>
      <c r="BC137" s="53"/>
      <c r="BD137" s="53"/>
      <c r="BE137" s="53"/>
      <c r="BF137" s="212"/>
      <c r="BG137" s="54"/>
      <c r="BH137" s="2" t="s">
        <v>226</v>
      </c>
      <c r="BI137" s="55"/>
      <c r="BJ137" s="55">
        <f t="shared" si="61"/>
        <v>0.68146290873989723</v>
      </c>
      <c r="BK137" s="55">
        <f t="shared" si="62"/>
        <v>3.6738312322360946</v>
      </c>
      <c r="BL137" s="55">
        <f t="shared" si="63"/>
        <v>4.9859854396573731</v>
      </c>
      <c r="BM137" s="213">
        <f t="shared" si="67"/>
        <v>3.5464842670897236</v>
      </c>
      <c r="BN137" s="56">
        <f t="shared" si="86"/>
        <v>2.7992948506975979</v>
      </c>
      <c r="BO137" s="50">
        <f t="shared" si="82"/>
        <v>4.8183556405353725E-2</v>
      </c>
      <c r="BP137" s="51">
        <f t="shared" si="82"/>
        <v>4.456824512534819E-2</v>
      </c>
      <c r="BQ137" s="51">
        <f t="shared" si="82"/>
        <v>3.0769230769230771E-2</v>
      </c>
      <c r="BR137" s="211">
        <f t="shared" si="82"/>
        <v>8.7499999999999994E-2</v>
      </c>
      <c r="BS137" s="211">
        <f>X137/Q137</f>
        <v>9.5505617977528087E-2</v>
      </c>
      <c r="BT137" s="57">
        <f t="shared" ref="BT137:BT196" si="87">(AE137-AD137)/AD137</f>
        <v>0</v>
      </c>
      <c r="BU137" s="57">
        <f>(Q137-P137)/P137</f>
        <v>-3.5833333333333335E-2</v>
      </c>
    </row>
    <row r="138" spans="1:73" s="11" customFormat="1" x14ac:dyDescent="0.25">
      <c r="A138" s="10"/>
      <c r="B138" s="33" t="s">
        <v>174</v>
      </c>
      <c r="C138" s="34">
        <v>0</v>
      </c>
      <c r="D138" s="35">
        <v>0</v>
      </c>
      <c r="E138" s="35">
        <v>0</v>
      </c>
      <c r="F138" s="93">
        <v>0</v>
      </c>
      <c r="G138" s="36">
        <v>0</v>
      </c>
      <c r="H138" s="34">
        <v>46</v>
      </c>
      <c r="I138" s="35">
        <v>46</v>
      </c>
      <c r="J138" s="35">
        <v>47</v>
      </c>
      <c r="K138" s="93">
        <v>47</v>
      </c>
      <c r="L138" s="36">
        <v>44</v>
      </c>
      <c r="M138" s="34">
        <v>19</v>
      </c>
      <c r="N138" s="35">
        <v>16</v>
      </c>
      <c r="O138" s="35">
        <v>13</v>
      </c>
      <c r="P138" s="93">
        <v>15</v>
      </c>
      <c r="Q138" s="36">
        <v>13</v>
      </c>
      <c r="R138" s="34">
        <v>0</v>
      </c>
      <c r="S138" s="35">
        <v>0</v>
      </c>
      <c r="T138" s="35">
        <v>0</v>
      </c>
      <c r="U138" s="35">
        <v>0</v>
      </c>
      <c r="V138" s="35">
        <v>0</v>
      </c>
      <c r="W138" s="93">
        <v>0</v>
      </c>
      <c r="X138" s="36">
        <v>0</v>
      </c>
      <c r="Y138" s="34"/>
      <c r="Z138" s="35">
        <v>18.670000000000002</v>
      </c>
      <c r="AA138" s="89">
        <v>21.8</v>
      </c>
      <c r="AB138" s="154">
        <v>21.8</v>
      </c>
      <c r="AC138" s="89">
        <v>21.8</v>
      </c>
      <c r="AD138" s="154">
        <v>21.8</v>
      </c>
      <c r="AE138" s="154">
        <v>21.8</v>
      </c>
      <c r="AF138" s="38">
        <v>8230.39</v>
      </c>
      <c r="AG138" s="39">
        <v>10270.69</v>
      </c>
      <c r="AH138" s="39">
        <v>12585.08</v>
      </c>
      <c r="AI138" s="39">
        <v>14068.02</v>
      </c>
      <c r="AJ138" s="39">
        <v>14277.35</v>
      </c>
      <c r="AK138" s="182">
        <v>13800</v>
      </c>
      <c r="AL138" s="40">
        <v>13400</v>
      </c>
      <c r="AM138" s="38">
        <v>1946.94</v>
      </c>
      <c r="AN138" s="39">
        <v>2996.19</v>
      </c>
      <c r="AO138" s="39">
        <v>3315.92</v>
      </c>
      <c r="AP138" s="39">
        <v>4252.38</v>
      </c>
      <c r="AQ138" s="39">
        <v>5368.01</v>
      </c>
      <c r="AR138" s="182">
        <v>4506</v>
      </c>
      <c r="AS138" s="40">
        <v>1960</v>
      </c>
      <c r="AT138" s="41">
        <f t="shared" si="69"/>
        <v>0.23655501136641158</v>
      </c>
      <c r="AU138" s="42">
        <f t="shared" si="70"/>
        <v>0.29172236724114931</v>
      </c>
      <c r="AV138" s="42">
        <f t="shared" si="71"/>
        <v>0.26348024803974229</v>
      </c>
      <c r="AW138" s="42">
        <f t="shared" si="72"/>
        <v>0.30227281451121052</v>
      </c>
      <c r="AX138" s="42">
        <f t="shared" si="73"/>
        <v>0.37598083677993466</v>
      </c>
      <c r="AY138" s="183">
        <f t="shared" si="83"/>
        <v>0.32652173913043481</v>
      </c>
      <c r="AZ138" s="43">
        <f t="shared" si="84"/>
        <v>0.14626865671641792</v>
      </c>
      <c r="BA138" s="41" t="s">
        <v>226</v>
      </c>
      <c r="BB138" s="44">
        <f t="shared" si="56"/>
        <v>5.5167355874737725</v>
      </c>
      <c r="BC138" s="44">
        <f t="shared" si="57"/>
        <v>2.6925236673330715</v>
      </c>
      <c r="BD138" s="44">
        <f t="shared" si="58"/>
        <v>6.5717803144798941</v>
      </c>
      <c r="BE138" s="44">
        <f t="shared" si="59"/>
        <v>13.942582541352309</v>
      </c>
      <c r="BF138" s="184">
        <f t="shared" si="66"/>
        <v>8.9966727764023222</v>
      </c>
      <c r="BG138" s="45">
        <f t="shared" si="85"/>
        <v>-9.0286354649993648</v>
      </c>
      <c r="BH138" s="34" t="s">
        <v>226</v>
      </c>
      <c r="BI138" s="46">
        <f t="shared" si="60"/>
        <v>5.5167355874737725</v>
      </c>
      <c r="BJ138" s="46">
        <f t="shared" si="61"/>
        <v>-2.8242119201407014</v>
      </c>
      <c r="BK138" s="46">
        <f t="shared" si="62"/>
        <v>3.8792566471468226</v>
      </c>
      <c r="BL138" s="46">
        <f t="shared" si="63"/>
        <v>7.3708022268724136</v>
      </c>
      <c r="BM138" s="185">
        <f t="shared" si="67"/>
        <v>-4.9459097649499846</v>
      </c>
      <c r="BN138" s="47">
        <f t="shared" si="86"/>
        <v>-18.025308241401689</v>
      </c>
      <c r="BO138" s="41">
        <f t="shared" si="82"/>
        <v>0</v>
      </c>
      <c r="BP138" s="42">
        <f t="shared" si="82"/>
        <v>0</v>
      </c>
      <c r="BQ138" s="42">
        <f t="shared" si="82"/>
        <v>0</v>
      </c>
      <c r="BR138" s="183">
        <f t="shared" si="82"/>
        <v>0</v>
      </c>
      <c r="BS138" s="183">
        <f>X138/Q138</f>
        <v>0</v>
      </c>
      <c r="BT138" s="48">
        <f t="shared" si="87"/>
        <v>0</v>
      </c>
      <c r="BU138" s="48">
        <f>(Q138-P138)/P138</f>
        <v>-0.13333333333333333</v>
      </c>
    </row>
    <row r="139" spans="1:73" s="14" customFormat="1" x14ac:dyDescent="0.25">
      <c r="A139" s="13"/>
      <c r="B139" s="329" t="s">
        <v>173</v>
      </c>
      <c r="C139" s="60">
        <v>4</v>
      </c>
      <c r="D139" s="61">
        <v>4</v>
      </c>
      <c r="E139" s="61">
        <v>4</v>
      </c>
      <c r="F139" s="145">
        <v>3</v>
      </c>
      <c r="G139" s="62">
        <v>2</v>
      </c>
      <c r="H139" s="60">
        <v>8</v>
      </c>
      <c r="I139" s="61">
        <v>7</v>
      </c>
      <c r="J139" s="61">
        <v>8</v>
      </c>
      <c r="K139" s="145">
        <v>115</v>
      </c>
      <c r="L139" s="62">
        <v>112</v>
      </c>
      <c r="M139" s="60">
        <v>4</v>
      </c>
      <c r="N139" s="61">
        <v>4</v>
      </c>
      <c r="O139" s="61">
        <v>4</v>
      </c>
      <c r="P139" s="145">
        <v>38</v>
      </c>
      <c r="Q139" s="62">
        <v>40</v>
      </c>
      <c r="R139" s="60">
        <v>0</v>
      </c>
      <c r="S139" s="61">
        <v>0</v>
      </c>
      <c r="T139" s="61">
        <v>0</v>
      </c>
      <c r="U139" s="61">
        <v>0</v>
      </c>
      <c r="V139" s="61">
        <v>0</v>
      </c>
      <c r="W139" s="145">
        <v>0</v>
      </c>
      <c r="X139" s="62">
        <v>0</v>
      </c>
      <c r="Y139" s="60"/>
      <c r="Z139" s="63">
        <v>17.8</v>
      </c>
      <c r="AA139" s="61">
        <v>26.74</v>
      </c>
      <c r="AB139" s="145">
        <v>31.82</v>
      </c>
      <c r="AC139" s="61">
        <v>31.82</v>
      </c>
      <c r="AD139" s="152">
        <v>31.82</v>
      </c>
      <c r="AE139" s="152">
        <v>31.82</v>
      </c>
      <c r="AF139" s="270"/>
      <c r="AG139" s="65">
        <v>8301</v>
      </c>
      <c r="AH139" s="65">
        <v>9460</v>
      </c>
      <c r="AI139" s="65">
        <v>15150</v>
      </c>
      <c r="AJ139" s="65">
        <v>16261</v>
      </c>
      <c r="AK139" s="196">
        <v>56862</v>
      </c>
      <c r="AL139" s="66">
        <v>37336</v>
      </c>
      <c r="AM139" s="270"/>
      <c r="AN139" s="65">
        <v>2658</v>
      </c>
      <c r="AO139" s="65">
        <v>1598</v>
      </c>
      <c r="AP139" s="65">
        <v>2497</v>
      </c>
      <c r="AQ139" s="65">
        <v>4138</v>
      </c>
      <c r="AR139" s="196">
        <v>6752</v>
      </c>
      <c r="AS139" s="66">
        <v>8144</v>
      </c>
      <c r="AT139" s="276"/>
      <c r="AU139" s="67">
        <f t="shared" si="70"/>
        <v>0.32020238525478856</v>
      </c>
      <c r="AV139" s="67">
        <f t="shared" si="71"/>
        <v>0.16892177589852009</v>
      </c>
      <c r="AW139" s="67">
        <f t="shared" si="72"/>
        <v>0.16481848184818482</v>
      </c>
      <c r="AX139" s="67">
        <f t="shared" si="73"/>
        <v>0.25447389459442837</v>
      </c>
      <c r="AY139" s="190">
        <f t="shared" si="83"/>
        <v>0.11874362491646442</v>
      </c>
      <c r="AZ139" s="68">
        <f t="shared" si="84"/>
        <v>0.21812727662309836</v>
      </c>
      <c r="BA139" s="276" t="s">
        <v>226</v>
      </c>
      <c r="BB139" s="69"/>
      <c r="BC139" s="69"/>
      <c r="BD139" s="69"/>
      <c r="BE139" s="69"/>
      <c r="BF139" s="199"/>
      <c r="BG139" s="70"/>
      <c r="BH139" s="60" t="s">
        <v>226</v>
      </c>
      <c r="BI139" s="71"/>
      <c r="BJ139" s="71">
        <f t="shared" si="61"/>
        <v>-15.128060935626847</v>
      </c>
      <c r="BK139" s="71">
        <f t="shared" si="62"/>
        <v>-0.41032940503352711</v>
      </c>
      <c r="BL139" s="71">
        <f t="shared" si="63"/>
        <v>8.9655412746243552</v>
      </c>
      <c r="BM139" s="200">
        <f t="shared" si="67"/>
        <v>-13.573026967796395</v>
      </c>
      <c r="BN139" s="72">
        <f t="shared" si="86"/>
        <v>9.9383651706633938</v>
      </c>
      <c r="BO139" s="276">
        <f t="shared" si="82"/>
        <v>0</v>
      </c>
      <c r="BP139" s="67">
        <f t="shared" si="82"/>
        <v>0</v>
      </c>
      <c r="BQ139" s="67">
        <f t="shared" si="82"/>
        <v>0</v>
      </c>
      <c r="BR139" s="190">
        <f t="shared" si="82"/>
        <v>0</v>
      </c>
      <c r="BS139" s="190">
        <f>X139/Q139</f>
        <v>0</v>
      </c>
      <c r="BT139" s="73">
        <f t="shared" si="87"/>
        <v>0</v>
      </c>
      <c r="BU139" s="73">
        <f>(Q139-P139)/P139</f>
        <v>5.2631578947368418E-2</v>
      </c>
    </row>
    <row r="140" spans="1:73" s="11" customFormat="1" x14ac:dyDescent="0.25">
      <c r="A140" s="10"/>
      <c r="B140" s="92" t="s">
        <v>331</v>
      </c>
      <c r="C140" s="34"/>
      <c r="D140" s="35"/>
      <c r="E140" s="35"/>
      <c r="F140" s="93">
        <v>0</v>
      </c>
      <c r="G140" s="36"/>
      <c r="H140" s="34"/>
      <c r="I140" s="35"/>
      <c r="J140" s="35"/>
      <c r="K140" s="93">
        <v>125</v>
      </c>
      <c r="L140" s="36"/>
      <c r="M140" s="34"/>
      <c r="N140" s="35"/>
      <c r="O140" s="35"/>
      <c r="P140" s="93">
        <v>36</v>
      </c>
      <c r="Q140" s="36"/>
      <c r="R140" s="34"/>
      <c r="S140" s="35"/>
      <c r="T140" s="35"/>
      <c r="U140" s="35"/>
      <c r="V140" s="35"/>
      <c r="W140" s="93">
        <v>0</v>
      </c>
      <c r="X140" s="36"/>
      <c r="Y140" s="34"/>
      <c r="Z140" s="89"/>
      <c r="AA140" s="35"/>
      <c r="AB140" s="93"/>
      <c r="AC140" s="35"/>
      <c r="AD140" s="154"/>
      <c r="AE140" s="90"/>
      <c r="AF140" s="38"/>
      <c r="AG140" s="39"/>
      <c r="AH140" s="39"/>
      <c r="AI140" s="39"/>
      <c r="AJ140" s="39"/>
      <c r="AK140" s="182">
        <v>34258</v>
      </c>
      <c r="AL140" s="40"/>
      <c r="AM140" s="38"/>
      <c r="AN140" s="39"/>
      <c r="AO140" s="39"/>
      <c r="AP140" s="39"/>
      <c r="AQ140" s="39"/>
      <c r="AR140" s="182">
        <v>5667</v>
      </c>
      <c r="AS140" s="40"/>
      <c r="AT140" s="41"/>
      <c r="AU140" s="42"/>
      <c r="AV140" s="42"/>
      <c r="AW140" s="42"/>
      <c r="AX140" s="42"/>
      <c r="AY140" s="183">
        <f t="shared" si="83"/>
        <v>0.16542121548251504</v>
      </c>
      <c r="AZ140" s="43"/>
      <c r="BA140" s="41"/>
      <c r="BB140" s="44"/>
      <c r="BC140" s="44"/>
      <c r="BD140" s="44"/>
      <c r="BE140" s="44"/>
      <c r="BF140" s="184"/>
      <c r="BG140" s="45"/>
      <c r="BH140" s="34"/>
      <c r="BI140" s="46"/>
      <c r="BJ140" s="46"/>
      <c r="BK140" s="46"/>
      <c r="BL140" s="46"/>
      <c r="BM140" s="185"/>
      <c r="BN140" s="47"/>
      <c r="BO140" s="41"/>
      <c r="BP140" s="42"/>
      <c r="BQ140" s="42"/>
      <c r="BR140" s="183">
        <f>W140/P140</f>
        <v>0</v>
      </c>
      <c r="BS140" s="183"/>
      <c r="BT140" s="48"/>
      <c r="BU140" s="48"/>
    </row>
    <row r="141" spans="1:73" s="14" customFormat="1" x14ac:dyDescent="0.25">
      <c r="A141" s="13"/>
      <c r="B141" s="59" t="s">
        <v>173</v>
      </c>
      <c r="C141" s="60">
        <v>0</v>
      </c>
      <c r="D141" s="61">
        <v>0</v>
      </c>
      <c r="E141" s="61">
        <v>0</v>
      </c>
      <c r="F141" s="145"/>
      <c r="G141" s="62"/>
      <c r="H141" s="60">
        <v>112</v>
      </c>
      <c r="I141" s="61">
        <v>112</v>
      </c>
      <c r="J141" s="61">
        <v>112</v>
      </c>
      <c r="K141" s="145"/>
      <c r="L141" s="62"/>
      <c r="M141" s="60">
        <v>53</v>
      </c>
      <c r="N141" s="61">
        <v>54</v>
      </c>
      <c r="O141" s="61">
        <v>62</v>
      </c>
      <c r="P141" s="145"/>
      <c r="Q141" s="62"/>
      <c r="R141" s="60"/>
      <c r="S141" s="61"/>
      <c r="T141" s="61"/>
      <c r="U141" s="61"/>
      <c r="V141" s="61"/>
      <c r="W141" s="145"/>
      <c r="X141" s="62"/>
      <c r="Y141" s="60">
        <v>17.87</v>
      </c>
      <c r="Z141" s="61">
        <v>26.74</v>
      </c>
      <c r="AA141" s="61">
        <v>26.74</v>
      </c>
      <c r="AB141" s="145">
        <v>31.82</v>
      </c>
      <c r="AC141" s="61">
        <v>31.82</v>
      </c>
      <c r="AD141" s="152"/>
      <c r="AE141" s="64"/>
      <c r="AF141" s="270">
        <v>20803.48</v>
      </c>
      <c r="AG141" s="65">
        <v>23486.18</v>
      </c>
      <c r="AH141" s="65">
        <v>30087.5</v>
      </c>
      <c r="AI141" s="65">
        <v>36999.89</v>
      </c>
      <c r="AJ141" s="65">
        <v>40406.519999999997</v>
      </c>
      <c r="AK141" s="196"/>
      <c r="AL141" s="66"/>
      <c r="AM141" s="270">
        <v>2962.39</v>
      </c>
      <c r="AN141" s="65">
        <v>1057.03</v>
      </c>
      <c r="AO141" s="65">
        <v>1493.64</v>
      </c>
      <c r="AP141" s="65">
        <v>6159.81</v>
      </c>
      <c r="AQ141" s="65">
        <v>5390.22</v>
      </c>
      <c r="AR141" s="196"/>
      <c r="AS141" s="66"/>
      <c r="AT141" s="276">
        <f t="shared" si="69"/>
        <v>0.14239877174395821</v>
      </c>
      <c r="AU141" s="67">
        <f t="shared" si="70"/>
        <v>4.5006467633306055E-2</v>
      </c>
      <c r="AV141" s="67">
        <f t="shared" si="71"/>
        <v>4.9643207312006651E-2</v>
      </c>
      <c r="AW141" s="67">
        <f t="shared" si="72"/>
        <v>0.16648184629738089</v>
      </c>
      <c r="AX141" s="67">
        <f t="shared" si="73"/>
        <v>0.13339975825683578</v>
      </c>
      <c r="AY141" s="190"/>
      <c r="AZ141" s="68"/>
      <c r="BA141" s="276" t="s">
        <v>226</v>
      </c>
      <c r="BB141" s="69">
        <f t="shared" si="56"/>
        <v>-9.7392304110652148</v>
      </c>
      <c r="BC141" s="69">
        <f t="shared" si="57"/>
        <v>-9.2755564431951552</v>
      </c>
      <c r="BD141" s="69">
        <f t="shared" si="58"/>
        <v>2.4083074553422676</v>
      </c>
      <c r="BE141" s="69">
        <f t="shared" si="59"/>
        <v>-0.89990134871224259</v>
      </c>
      <c r="BF141" s="199"/>
      <c r="BG141" s="70"/>
      <c r="BH141" s="60">
        <f>-Kopā!D132</f>
        <v>0</v>
      </c>
      <c r="BI141" s="71">
        <f t="shared" si="60"/>
        <v>-9.7392304110652148</v>
      </c>
      <c r="BJ141" s="71">
        <f t="shared" si="61"/>
        <v>0.46367396787005966</v>
      </c>
      <c r="BK141" s="71">
        <f t="shared" si="62"/>
        <v>11.683863898537423</v>
      </c>
      <c r="BL141" s="71">
        <f t="shared" si="63"/>
        <v>-3.3082088040545106</v>
      </c>
      <c r="BM141" s="200"/>
      <c r="BN141" s="72"/>
      <c r="BO141" s="276">
        <f>T141/M141</f>
        <v>0</v>
      </c>
      <c r="BP141" s="67">
        <f>U141/N141</f>
        <v>0</v>
      </c>
      <c r="BQ141" s="67">
        <f>V141/O141</f>
        <v>0</v>
      </c>
      <c r="BR141" s="190"/>
      <c r="BS141" s="190"/>
      <c r="BT141" s="73"/>
      <c r="BU141" s="73"/>
    </row>
    <row r="142" spans="1:73" s="14" customFormat="1" x14ac:dyDescent="0.25">
      <c r="A142" s="13"/>
      <c r="B142" s="59" t="s">
        <v>330</v>
      </c>
      <c r="C142" s="60"/>
      <c r="D142" s="61"/>
      <c r="E142" s="61"/>
      <c r="F142" s="145">
        <v>0</v>
      </c>
      <c r="G142" s="62"/>
      <c r="H142" s="60"/>
      <c r="I142" s="61"/>
      <c r="J142" s="61"/>
      <c r="K142" s="145">
        <v>222</v>
      </c>
      <c r="L142" s="62"/>
      <c r="M142" s="60"/>
      <c r="N142" s="61"/>
      <c r="O142" s="61"/>
      <c r="P142" s="145">
        <v>68</v>
      </c>
      <c r="Q142" s="62"/>
      <c r="R142" s="60"/>
      <c r="S142" s="61"/>
      <c r="T142" s="61"/>
      <c r="U142" s="61"/>
      <c r="V142" s="61"/>
      <c r="W142" s="145">
        <v>25</v>
      </c>
      <c r="X142" s="62"/>
      <c r="Y142" s="60"/>
      <c r="Z142" s="61"/>
      <c r="AA142" s="61"/>
      <c r="AB142" s="145"/>
      <c r="AC142" s="61"/>
      <c r="AD142" s="152"/>
      <c r="AE142" s="64"/>
      <c r="AF142" s="270"/>
      <c r="AG142" s="65"/>
      <c r="AH142" s="65"/>
      <c r="AI142" s="65"/>
      <c r="AJ142" s="65"/>
      <c r="AK142" s="196">
        <v>83762</v>
      </c>
      <c r="AL142" s="66"/>
      <c r="AM142" s="270"/>
      <c r="AN142" s="65"/>
      <c r="AO142" s="65"/>
      <c r="AP142" s="65"/>
      <c r="AQ142" s="65"/>
      <c r="AR142" s="196">
        <v>1873</v>
      </c>
      <c r="AS142" s="66"/>
      <c r="AT142" s="276"/>
      <c r="AU142" s="67"/>
      <c r="AV142" s="67"/>
      <c r="AW142" s="67"/>
      <c r="AX142" s="67"/>
      <c r="AY142" s="190">
        <f t="shared" si="83"/>
        <v>2.2360975143859985E-2</v>
      </c>
      <c r="AZ142" s="68"/>
      <c r="BA142" s="276"/>
      <c r="BB142" s="69"/>
      <c r="BC142" s="69"/>
      <c r="BD142" s="69"/>
      <c r="BE142" s="69"/>
      <c r="BF142" s="199"/>
      <c r="BG142" s="70"/>
      <c r="BH142" s="60"/>
      <c r="BI142" s="71"/>
      <c r="BJ142" s="71"/>
      <c r="BK142" s="71"/>
      <c r="BL142" s="71"/>
      <c r="BM142" s="200"/>
      <c r="BN142" s="72"/>
      <c r="BO142" s="276"/>
      <c r="BP142" s="67"/>
      <c r="BQ142" s="67"/>
      <c r="BR142" s="190">
        <f>W142/P142</f>
        <v>0.36764705882352944</v>
      </c>
      <c r="BS142" s="190"/>
      <c r="BT142" s="73"/>
      <c r="BU142" s="73"/>
    </row>
    <row r="143" spans="1:73" s="14" customFormat="1" x14ac:dyDescent="0.25">
      <c r="A143" s="13"/>
      <c r="B143" s="59" t="s">
        <v>172</v>
      </c>
      <c r="C143" s="60">
        <v>0</v>
      </c>
      <c r="D143" s="61">
        <v>0</v>
      </c>
      <c r="E143" s="61">
        <v>0</v>
      </c>
      <c r="F143" s="145">
        <v>0</v>
      </c>
      <c r="G143" s="62">
        <v>0</v>
      </c>
      <c r="H143" s="60">
        <v>104</v>
      </c>
      <c r="I143" s="61">
        <v>104</v>
      </c>
      <c r="J143" s="61">
        <v>104</v>
      </c>
      <c r="K143" s="145">
        <v>104</v>
      </c>
      <c r="L143" s="62">
        <v>108</v>
      </c>
      <c r="M143" s="60">
        <v>48</v>
      </c>
      <c r="N143" s="61">
        <v>61</v>
      </c>
      <c r="O143" s="61">
        <v>53</v>
      </c>
      <c r="P143" s="145">
        <v>73</v>
      </c>
      <c r="Q143" s="62">
        <v>71</v>
      </c>
      <c r="R143" s="60"/>
      <c r="S143" s="61"/>
      <c r="T143" s="61"/>
      <c r="U143" s="61"/>
      <c r="V143" s="61"/>
      <c r="W143" s="145">
        <v>0</v>
      </c>
      <c r="X143" s="62">
        <v>0</v>
      </c>
      <c r="Y143" s="60" t="s">
        <v>141</v>
      </c>
      <c r="Z143" s="61" t="s">
        <v>410</v>
      </c>
      <c r="AA143" s="145" t="s">
        <v>407</v>
      </c>
      <c r="AB143" s="145" t="s">
        <v>407</v>
      </c>
      <c r="AC143" s="145" t="s">
        <v>407</v>
      </c>
      <c r="AD143" s="145" t="s">
        <v>407</v>
      </c>
      <c r="AE143" s="145" t="s">
        <v>407</v>
      </c>
      <c r="AF143" s="270">
        <v>18510</v>
      </c>
      <c r="AG143" s="65">
        <v>22326</v>
      </c>
      <c r="AH143" s="65">
        <v>33401</v>
      </c>
      <c r="AI143" s="65">
        <v>34436</v>
      </c>
      <c r="AJ143" s="65">
        <v>35564</v>
      </c>
      <c r="AK143" s="196">
        <v>39048</v>
      </c>
      <c r="AL143" s="66">
        <v>33367</v>
      </c>
      <c r="AM143" s="270">
        <v>2552</v>
      </c>
      <c r="AN143" s="65">
        <v>2673</v>
      </c>
      <c r="AO143" s="65">
        <v>3952</v>
      </c>
      <c r="AP143" s="65">
        <v>7148</v>
      </c>
      <c r="AQ143" s="65">
        <v>13106</v>
      </c>
      <c r="AR143" s="196">
        <v>12292</v>
      </c>
      <c r="AS143" s="66">
        <v>8241</v>
      </c>
      <c r="AT143" s="276">
        <f t="shared" si="69"/>
        <v>0.13787142085359266</v>
      </c>
      <c r="AU143" s="67">
        <f t="shared" si="70"/>
        <v>0.11972588013974737</v>
      </c>
      <c r="AV143" s="67">
        <f t="shared" si="71"/>
        <v>0.11831981078410826</v>
      </c>
      <c r="AW143" s="67">
        <f t="shared" si="72"/>
        <v>0.20757346962481124</v>
      </c>
      <c r="AX143" s="67">
        <f t="shared" si="73"/>
        <v>0.36851872680238446</v>
      </c>
      <c r="AY143" s="190">
        <f t="shared" si="83"/>
        <v>0.31479205080926037</v>
      </c>
      <c r="AZ143" s="68">
        <f t="shared" si="84"/>
        <v>0.24698054964485869</v>
      </c>
      <c r="BA143" s="276" t="s">
        <v>226</v>
      </c>
      <c r="BB143" s="69">
        <f t="shared" si="56"/>
        <v>-1.814554071384529</v>
      </c>
      <c r="BC143" s="69">
        <f t="shared" si="57"/>
        <v>-1.9551610069484402</v>
      </c>
      <c r="BD143" s="69">
        <f t="shared" si="58"/>
        <v>6.9702048771218577</v>
      </c>
      <c r="BE143" s="69">
        <f t="shared" si="59"/>
        <v>23.06473059487918</v>
      </c>
      <c r="BF143" s="199">
        <f t="shared" ref="BF143:BF207" si="88">(AY143-$AT143)*100</f>
        <v>17.692062995566772</v>
      </c>
      <c r="BG143" s="70">
        <f t="shared" si="85"/>
        <v>10.910912879126602</v>
      </c>
      <c r="BH143" s="60" t="s">
        <v>226</v>
      </c>
      <c r="BI143" s="71">
        <f t="shared" si="60"/>
        <v>-1.814554071384529</v>
      </c>
      <c r="BJ143" s="71">
        <f t="shared" si="61"/>
        <v>-0.14060693556391113</v>
      </c>
      <c r="BK143" s="71">
        <f t="shared" si="62"/>
        <v>8.9253658840702972</v>
      </c>
      <c r="BL143" s="71">
        <f t="shared" si="63"/>
        <v>16.094525717757321</v>
      </c>
      <c r="BM143" s="200">
        <f t="shared" ref="BM143:BM207" si="89">(AY143-AX143)*100</f>
        <v>-5.3726675993124084</v>
      </c>
      <c r="BN143" s="72">
        <f t="shared" si="86"/>
        <v>-6.781150116440168</v>
      </c>
      <c r="BO143" s="276">
        <f t="shared" ref="BO143:BQ146" si="90">T143/M143</f>
        <v>0</v>
      </c>
      <c r="BP143" s="67">
        <f t="shared" si="90"/>
        <v>0</v>
      </c>
      <c r="BQ143" s="67">
        <f t="shared" si="90"/>
        <v>0</v>
      </c>
      <c r="BR143" s="190">
        <f>W143/P143</f>
        <v>0</v>
      </c>
      <c r="BS143" s="190">
        <f>X143/Q143</f>
        <v>0</v>
      </c>
      <c r="BT143" s="73"/>
      <c r="BU143" s="73">
        <f>(Q143-P143)/P143</f>
        <v>-2.7397260273972601E-2</v>
      </c>
    </row>
    <row r="144" spans="1:73" s="9" customFormat="1" x14ac:dyDescent="0.25">
      <c r="A144" s="12">
        <v>67</v>
      </c>
      <c r="B144" s="17" t="s">
        <v>294</v>
      </c>
      <c r="C144" s="2">
        <v>4</v>
      </c>
      <c r="D144" s="3">
        <v>3</v>
      </c>
      <c r="E144" s="3">
        <v>3</v>
      </c>
      <c r="F144" s="144">
        <v>3</v>
      </c>
      <c r="G144" s="4">
        <v>3</v>
      </c>
      <c r="H144" s="2">
        <v>5178</v>
      </c>
      <c r="I144" s="3">
        <v>5250</v>
      </c>
      <c r="J144" s="3">
        <v>5250</v>
      </c>
      <c r="K144" s="144">
        <v>5198</v>
      </c>
      <c r="L144" s="4">
        <v>5198</v>
      </c>
      <c r="M144" s="2">
        <v>116</v>
      </c>
      <c r="N144" s="3">
        <v>596</v>
      </c>
      <c r="O144" s="3">
        <v>483</v>
      </c>
      <c r="P144" s="144">
        <v>1815</v>
      </c>
      <c r="Q144" s="4">
        <v>1820</v>
      </c>
      <c r="R144" s="2">
        <v>76</v>
      </c>
      <c r="S144" s="3">
        <v>63</v>
      </c>
      <c r="T144" s="3">
        <v>94</v>
      </c>
      <c r="U144" s="3">
        <v>136</v>
      </c>
      <c r="V144" s="3">
        <v>79</v>
      </c>
      <c r="W144" s="144">
        <v>68</v>
      </c>
      <c r="X144" s="4">
        <v>74</v>
      </c>
      <c r="Y144" s="2">
        <v>33.99</v>
      </c>
      <c r="Z144" s="3">
        <f>(33.99+37.12)/2</f>
        <v>35.555</v>
      </c>
      <c r="AA144" s="3">
        <f>(32.73+33.35+33.99+38.38+46.04)/5</f>
        <v>36.897999999999996</v>
      </c>
      <c r="AB144" s="144">
        <f>(53.66+47.75+39.61+38.93+38.25)/5</f>
        <v>43.64</v>
      </c>
      <c r="AC144" s="3">
        <f>(36.87+42.36+43.72+47.84+45.79)/5</f>
        <v>43.315999999999995</v>
      </c>
      <c r="AD144" s="153">
        <v>45.03</v>
      </c>
      <c r="AE144" s="86">
        <v>47.33</v>
      </c>
      <c r="AF144" s="19">
        <v>1025195</v>
      </c>
      <c r="AG144" s="20">
        <v>993122</v>
      </c>
      <c r="AH144" s="20">
        <v>1295484</v>
      </c>
      <c r="AI144" s="20">
        <v>1797833</v>
      </c>
      <c r="AJ144" s="20">
        <v>1753332</v>
      </c>
      <c r="AK144" s="210">
        <v>2020402</v>
      </c>
      <c r="AL144" s="21">
        <v>2098728</v>
      </c>
      <c r="AM144" s="19">
        <v>34803</v>
      </c>
      <c r="AN144" s="20">
        <v>26632</v>
      </c>
      <c r="AO144" s="20">
        <v>15862</v>
      </c>
      <c r="AP144" s="20">
        <v>112205</v>
      </c>
      <c r="AQ144" s="20">
        <v>148169</v>
      </c>
      <c r="AR144" s="210">
        <v>262103</v>
      </c>
      <c r="AS144" s="21">
        <v>116070</v>
      </c>
      <c r="AT144" s="50">
        <f t="shared" si="69"/>
        <v>3.3947688000819355E-2</v>
      </c>
      <c r="AU144" s="51">
        <f t="shared" si="70"/>
        <v>2.6816443498381869E-2</v>
      </c>
      <c r="AV144" s="51">
        <f t="shared" si="71"/>
        <v>1.224407248565015E-2</v>
      </c>
      <c r="AW144" s="51">
        <f t="shared" si="72"/>
        <v>6.2411247318299307E-2</v>
      </c>
      <c r="AX144" s="51">
        <f t="shared" si="73"/>
        <v>8.4507098484485538E-2</v>
      </c>
      <c r="AY144" s="211">
        <f t="shared" si="83"/>
        <v>0.12972814321110354</v>
      </c>
      <c r="AZ144" s="52">
        <f t="shared" si="84"/>
        <v>5.530492755611971E-2</v>
      </c>
      <c r="BA144" s="50" t="s">
        <v>226</v>
      </c>
      <c r="BB144" s="53">
        <f t="shared" si="56"/>
        <v>-0.7131244502437486</v>
      </c>
      <c r="BC144" s="53">
        <f t="shared" si="57"/>
        <v>-2.1703615515169203</v>
      </c>
      <c r="BD144" s="53">
        <f t="shared" si="58"/>
        <v>2.8463559317479952</v>
      </c>
      <c r="BE144" s="53">
        <f t="shared" si="59"/>
        <v>5.0559410483666181</v>
      </c>
      <c r="BF144" s="212">
        <f t="shared" si="88"/>
        <v>9.5780455210284199</v>
      </c>
      <c r="BG144" s="54">
        <f t="shared" si="85"/>
        <v>2.1357239555300356</v>
      </c>
      <c r="BH144" s="2" t="s">
        <v>226</v>
      </c>
      <c r="BI144" s="55">
        <f t="shared" si="60"/>
        <v>-0.7131244502437486</v>
      </c>
      <c r="BJ144" s="55">
        <f t="shared" si="61"/>
        <v>-1.457237101273172</v>
      </c>
      <c r="BK144" s="55">
        <f t="shared" si="62"/>
        <v>5.0167174832649151</v>
      </c>
      <c r="BL144" s="55">
        <f t="shared" si="63"/>
        <v>2.2095851166186229</v>
      </c>
      <c r="BM144" s="213">
        <f t="shared" si="89"/>
        <v>4.5221044726618</v>
      </c>
      <c r="BN144" s="56">
        <f t="shared" si="86"/>
        <v>-7.442321565498383</v>
      </c>
      <c r="BO144" s="50">
        <f t="shared" si="90"/>
        <v>0.81034482758620685</v>
      </c>
      <c r="BP144" s="51">
        <f t="shared" si="90"/>
        <v>0.22818791946308725</v>
      </c>
      <c r="BQ144" s="51">
        <f t="shared" si="90"/>
        <v>0.16356107660455488</v>
      </c>
      <c r="BR144" s="211">
        <f>W144/P144</f>
        <v>3.7465564738292011E-2</v>
      </c>
      <c r="BS144" s="211">
        <f>X144/Q144</f>
        <v>4.0659340659340661E-2</v>
      </c>
      <c r="BT144" s="57">
        <f t="shared" si="87"/>
        <v>5.1077059737952409E-2</v>
      </c>
      <c r="BU144" s="57">
        <f>(Q144-P144)/P144</f>
        <v>2.7548209366391185E-3</v>
      </c>
    </row>
    <row r="145" spans="1:73" s="9" customFormat="1" x14ac:dyDescent="0.25">
      <c r="A145" s="12"/>
      <c r="B145" s="17" t="s">
        <v>295</v>
      </c>
      <c r="C145" s="2">
        <v>42</v>
      </c>
      <c r="D145" s="3">
        <v>33</v>
      </c>
      <c r="E145" s="3">
        <v>33</v>
      </c>
      <c r="F145" s="144">
        <v>28</v>
      </c>
      <c r="G145" s="4">
        <v>29</v>
      </c>
      <c r="H145" s="2">
        <v>1262</v>
      </c>
      <c r="I145" s="3">
        <v>998</v>
      </c>
      <c r="J145" s="3">
        <v>998</v>
      </c>
      <c r="K145" s="144">
        <v>878</v>
      </c>
      <c r="L145" s="4">
        <v>2173</v>
      </c>
      <c r="M145" s="2">
        <v>301</v>
      </c>
      <c r="N145" s="3">
        <v>263</v>
      </c>
      <c r="O145" s="3">
        <v>248</v>
      </c>
      <c r="P145" s="144">
        <v>261</v>
      </c>
      <c r="Q145" s="4">
        <v>1283</v>
      </c>
      <c r="R145" s="2">
        <v>2</v>
      </c>
      <c r="S145" s="3">
        <v>1</v>
      </c>
      <c r="T145" s="3">
        <v>3</v>
      </c>
      <c r="U145" s="3">
        <v>0</v>
      </c>
      <c r="V145" s="3">
        <v>28</v>
      </c>
      <c r="W145" s="144">
        <v>30</v>
      </c>
      <c r="X145" s="4">
        <v>57</v>
      </c>
      <c r="Y145" s="2">
        <f>AVERAGE((23.92+23.91+24.41)/3)</f>
        <v>24.08</v>
      </c>
      <c r="Z145" s="3">
        <v>24.08</v>
      </c>
      <c r="AA145" s="3">
        <f>AVERAGE((31.96+29.23+29.82+40.25+39.28+40)/6)</f>
        <v>35.089999999999996</v>
      </c>
      <c r="AB145" s="144">
        <v>35.090000000000003</v>
      </c>
      <c r="AC145" s="3">
        <v>35.090000000000003</v>
      </c>
      <c r="AD145" s="144">
        <v>35.090000000000003</v>
      </c>
      <c r="AE145" s="144">
        <v>35.090000000000003</v>
      </c>
      <c r="AF145" s="19">
        <v>273622.38</v>
      </c>
      <c r="AG145" s="20">
        <v>286015.49</v>
      </c>
      <c r="AH145" s="20">
        <v>327869.62</v>
      </c>
      <c r="AI145" s="20">
        <v>397491.57</v>
      </c>
      <c r="AJ145" s="20">
        <v>393754.56</v>
      </c>
      <c r="AK145" s="153">
        <v>369381</v>
      </c>
      <c r="AL145" s="86">
        <v>360529.39</v>
      </c>
      <c r="AM145" s="19">
        <v>73521.490000000005</v>
      </c>
      <c r="AN145" s="20">
        <v>67572.06</v>
      </c>
      <c r="AO145" s="20">
        <v>77854.850000000006</v>
      </c>
      <c r="AP145" s="20">
        <v>128271.72</v>
      </c>
      <c r="AQ145" s="20">
        <v>163195.20000000001</v>
      </c>
      <c r="AR145" s="210">
        <v>186064</v>
      </c>
      <c r="AS145" s="21">
        <v>176111.52</v>
      </c>
      <c r="AT145" s="50">
        <f t="shared" si="69"/>
        <v>0.26869691726239647</v>
      </c>
      <c r="AU145" s="51">
        <f t="shared" si="70"/>
        <v>0.23625314838717301</v>
      </c>
      <c r="AV145" s="51">
        <f t="shared" si="71"/>
        <v>0.23745673661377961</v>
      </c>
      <c r="AW145" s="51">
        <f t="shared" si="72"/>
        <v>0.32270299468237779</v>
      </c>
      <c r="AX145" s="51">
        <f t="shared" si="73"/>
        <v>0.41445920016773902</v>
      </c>
      <c r="AY145" s="211">
        <f t="shared" si="83"/>
        <v>0.50371838291628424</v>
      </c>
      <c r="AZ145" s="52">
        <f t="shared" si="84"/>
        <v>0.4884803427537488</v>
      </c>
      <c r="BA145" s="50" t="s">
        <v>226</v>
      </c>
      <c r="BB145" s="53">
        <f t="shared" si="56"/>
        <v>-3.2443768875223462</v>
      </c>
      <c r="BC145" s="53">
        <f t="shared" si="57"/>
        <v>-3.1240180648616862</v>
      </c>
      <c r="BD145" s="53">
        <f t="shared" si="58"/>
        <v>5.4006077419981313</v>
      </c>
      <c r="BE145" s="53">
        <f t="shared" si="59"/>
        <v>14.576228290534255</v>
      </c>
      <c r="BF145" s="212">
        <f t="shared" si="88"/>
        <v>23.502146565388777</v>
      </c>
      <c r="BG145" s="54">
        <f t="shared" si="85"/>
        <v>21.978342549135231</v>
      </c>
      <c r="BH145" s="2" t="s">
        <v>226</v>
      </c>
      <c r="BI145" s="55">
        <f t="shared" si="60"/>
        <v>-3.2443768875223462</v>
      </c>
      <c r="BJ145" s="55">
        <f t="shared" si="61"/>
        <v>0.12035882266066</v>
      </c>
      <c r="BK145" s="55">
        <f t="shared" si="62"/>
        <v>8.5246258068598166</v>
      </c>
      <c r="BL145" s="55">
        <f t="shared" si="63"/>
        <v>9.1756205485361235</v>
      </c>
      <c r="BM145" s="213">
        <f t="shared" si="89"/>
        <v>8.9259182748545225</v>
      </c>
      <c r="BN145" s="56">
        <f t="shared" si="86"/>
        <v>-1.5238040162535438</v>
      </c>
      <c r="BO145" s="50">
        <f t="shared" si="90"/>
        <v>9.9667774086378731E-3</v>
      </c>
      <c r="BP145" s="51">
        <f t="shared" si="90"/>
        <v>0</v>
      </c>
      <c r="BQ145" s="51">
        <f t="shared" si="90"/>
        <v>0.11290322580645161</v>
      </c>
      <c r="BR145" s="211">
        <f>W145/P145</f>
        <v>0.11494252873563218</v>
      </c>
      <c r="BS145" s="211">
        <f>X145/Q145</f>
        <v>4.4427123928293066E-2</v>
      </c>
      <c r="BT145" s="57">
        <f t="shared" si="87"/>
        <v>0</v>
      </c>
      <c r="BU145" s="57">
        <f>(Q145-P145)/P145</f>
        <v>3.9157088122605366</v>
      </c>
    </row>
    <row r="146" spans="1:73" s="11" customFormat="1" x14ac:dyDescent="0.25">
      <c r="A146" s="10">
        <v>68</v>
      </c>
      <c r="B146" s="33" t="s">
        <v>36</v>
      </c>
      <c r="C146" s="34">
        <v>24</v>
      </c>
      <c r="D146" s="35">
        <v>24</v>
      </c>
      <c r="E146" s="35">
        <v>24</v>
      </c>
      <c r="F146" s="93"/>
      <c r="G146" s="36"/>
      <c r="H146" s="34">
        <v>2</v>
      </c>
      <c r="I146" s="35">
        <v>2</v>
      </c>
      <c r="J146" s="35">
        <v>2</v>
      </c>
      <c r="K146" s="93"/>
      <c r="L146" s="36"/>
      <c r="M146" s="34">
        <v>159</v>
      </c>
      <c r="N146" s="35">
        <v>181</v>
      </c>
      <c r="O146" s="35">
        <v>225</v>
      </c>
      <c r="P146" s="93"/>
      <c r="Q146" s="36"/>
      <c r="R146" s="34">
        <v>5</v>
      </c>
      <c r="S146" s="35">
        <v>0</v>
      </c>
      <c r="T146" s="35">
        <v>1</v>
      </c>
      <c r="U146" s="35">
        <v>4</v>
      </c>
      <c r="V146" s="35">
        <v>1</v>
      </c>
      <c r="W146" s="93"/>
      <c r="X146" s="36"/>
      <c r="Y146" s="34">
        <v>24.16</v>
      </c>
      <c r="Z146" s="35">
        <v>24.16</v>
      </c>
      <c r="AA146" s="35">
        <v>37.93</v>
      </c>
      <c r="AB146" s="93">
        <v>36.07</v>
      </c>
      <c r="AC146" s="35">
        <v>38.89</v>
      </c>
      <c r="AD146" s="154"/>
      <c r="AE146" s="90"/>
      <c r="AF146" s="38">
        <v>133398.19</v>
      </c>
      <c r="AG146" s="39">
        <v>129665.48</v>
      </c>
      <c r="AH146" s="39">
        <v>161389.82999999999</v>
      </c>
      <c r="AI146" s="39">
        <v>200681.78</v>
      </c>
      <c r="AJ146" s="39">
        <v>178496.23</v>
      </c>
      <c r="AK146" s="182"/>
      <c r="AL146" s="40"/>
      <c r="AM146" s="38">
        <v>8005.55</v>
      </c>
      <c r="AN146" s="39">
        <v>8602.01</v>
      </c>
      <c r="AO146" s="39">
        <v>13171.77</v>
      </c>
      <c r="AP146" s="39">
        <v>20207.46</v>
      </c>
      <c r="AQ146" s="39">
        <v>32141.18</v>
      </c>
      <c r="AR146" s="182"/>
      <c r="AS146" s="40"/>
      <c r="AT146" s="41">
        <f t="shared" si="69"/>
        <v>6.0012433452058082E-2</v>
      </c>
      <c r="AU146" s="42">
        <f t="shared" si="70"/>
        <v>6.6340015862355967E-2</v>
      </c>
      <c r="AV146" s="42">
        <f t="shared" si="71"/>
        <v>8.1614622185301272E-2</v>
      </c>
      <c r="AW146" s="42">
        <f t="shared" si="72"/>
        <v>0.100694044073159</v>
      </c>
      <c r="AX146" s="42">
        <f t="shared" si="73"/>
        <v>0.18006643613705453</v>
      </c>
      <c r="AY146" s="183"/>
      <c r="AZ146" s="43"/>
      <c r="BA146" s="41" t="s">
        <v>226</v>
      </c>
      <c r="BB146" s="44">
        <f t="shared" si="56"/>
        <v>0.63275824102978839</v>
      </c>
      <c r="BC146" s="44">
        <f t="shared" si="57"/>
        <v>2.1602188733243191</v>
      </c>
      <c r="BD146" s="44">
        <f t="shared" si="58"/>
        <v>4.0681610621100921</v>
      </c>
      <c r="BE146" s="44">
        <f t="shared" si="59"/>
        <v>12.005400268499644</v>
      </c>
      <c r="BF146" s="184"/>
      <c r="BG146" s="45"/>
      <c r="BH146" s="34" t="s">
        <v>226</v>
      </c>
      <c r="BI146" s="46">
        <f t="shared" si="60"/>
        <v>0.63275824102978839</v>
      </c>
      <c r="BJ146" s="46">
        <f t="shared" si="61"/>
        <v>1.5274606322945306</v>
      </c>
      <c r="BK146" s="46">
        <f t="shared" si="62"/>
        <v>1.907942188785773</v>
      </c>
      <c r="BL146" s="46">
        <f t="shared" si="63"/>
        <v>7.9372392063895525</v>
      </c>
      <c r="BM146" s="185"/>
      <c r="BN146" s="47"/>
      <c r="BO146" s="41">
        <f t="shared" si="90"/>
        <v>6.2893081761006293E-3</v>
      </c>
      <c r="BP146" s="42">
        <f t="shared" si="90"/>
        <v>2.2099447513812154E-2</v>
      </c>
      <c r="BQ146" s="42">
        <f t="shared" si="90"/>
        <v>4.4444444444444444E-3</v>
      </c>
      <c r="BR146" s="183"/>
      <c r="BS146" s="183"/>
      <c r="BT146" s="48"/>
      <c r="BU146" s="48"/>
    </row>
    <row r="147" spans="1:73" s="11" customFormat="1" x14ac:dyDescent="0.25">
      <c r="A147" s="10"/>
      <c r="B147" s="33" t="s">
        <v>175</v>
      </c>
      <c r="C147" s="34">
        <v>9</v>
      </c>
      <c r="D147" s="35">
        <v>11</v>
      </c>
      <c r="E147" s="35">
        <v>11</v>
      </c>
      <c r="F147" s="93"/>
      <c r="G147" s="36"/>
      <c r="H147" s="34"/>
      <c r="I147" s="35"/>
      <c r="J147" s="35"/>
      <c r="K147" s="93"/>
      <c r="L147" s="36"/>
      <c r="M147" s="34"/>
      <c r="N147" s="35"/>
      <c r="O147" s="35"/>
      <c r="P147" s="93"/>
      <c r="Q147" s="36"/>
      <c r="R147" s="34">
        <v>10</v>
      </c>
      <c r="S147" s="35">
        <v>6</v>
      </c>
      <c r="T147" s="35">
        <v>13</v>
      </c>
      <c r="U147" s="35">
        <v>6</v>
      </c>
      <c r="V147" s="35">
        <v>12</v>
      </c>
      <c r="W147" s="93"/>
      <c r="X147" s="36"/>
      <c r="Y147" s="34">
        <v>25.55</v>
      </c>
      <c r="Z147" s="35">
        <v>26.13</v>
      </c>
      <c r="AA147" s="35">
        <v>61.06</v>
      </c>
      <c r="AB147" s="93">
        <v>50.35</v>
      </c>
      <c r="AC147" s="35">
        <v>43.34</v>
      </c>
      <c r="AD147" s="154"/>
      <c r="AE147" s="90"/>
      <c r="AF147" s="38">
        <v>52545.54</v>
      </c>
      <c r="AG147" s="39">
        <v>55163.99</v>
      </c>
      <c r="AH147" s="39">
        <v>59753.62</v>
      </c>
      <c r="AI147" s="39">
        <v>81358.539999999994</v>
      </c>
      <c r="AJ147" s="39">
        <v>106214.18</v>
      </c>
      <c r="AK147" s="182"/>
      <c r="AL147" s="40"/>
      <c r="AM147" s="38">
        <v>2938.33</v>
      </c>
      <c r="AN147" s="39">
        <v>721.27</v>
      </c>
      <c r="AO147" s="39">
        <v>2503.15</v>
      </c>
      <c r="AP147" s="39">
        <v>13840.12</v>
      </c>
      <c r="AQ147" s="39">
        <v>24197.52</v>
      </c>
      <c r="AR147" s="182"/>
      <c r="AS147" s="40"/>
      <c r="AT147" s="41">
        <f t="shared" si="69"/>
        <v>5.5919684144458311E-2</v>
      </c>
      <c r="AU147" s="42">
        <f t="shared" si="70"/>
        <v>1.3075015059643076E-2</v>
      </c>
      <c r="AV147" s="42">
        <f t="shared" si="71"/>
        <v>4.1891185839452068E-2</v>
      </c>
      <c r="AW147" s="42">
        <f t="shared" si="72"/>
        <v>0.1701126888461863</v>
      </c>
      <c r="AX147" s="42">
        <f t="shared" si="73"/>
        <v>0.22781816891115669</v>
      </c>
      <c r="AY147" s="183"/>
      <c r="AZ147" s="43"/>
      <c r="BA147" s="41" t="s">
        <v>226</v>
      </c>
      <c r="BB147" s="44">
        <f t="shared" si="56"/>
        <v>-4.284466908481523</v>
      </c>
      <c r="BC147" s="44">
        <f t="shared" si="57"/>
        <v>-1.4028498305006243</v>
      </c>
      <c r="BD147" s="44">
        <f t="shared" si="58"/>
        <v>11.4193004701728</v>
      </c>
      <c r="BE147" s="44">
        <f t="shared" si="59"/>
        <v>17.189848476669837</v>
      </c>
      <c r="BF147" s="184"/>
      <c r="BG147" s="45"/>
      <c r="BH147" s="34" t="s">
        <v>226</v>
      </c>
      <c r="BI147" s="46">
        <f t="shared" si="60"/>
        <v>-4.284466908481523</v>
      </c>
      <c r="BJ147" s="46">
        <f t="shared" si="61"/>
        <v>2.8816170779808989</v>
      </c>
      <c r="BK147" s="46">
        <f t="shared" si="62"/>
        <v>12.822150300673425</v>
      </c>
      <c r="BL147" s="46">
        <f t="shared" si="63"/>
        <v>5.7705480064970391</v>
      </c>
      <c r="BM147" s="185"/>
      <c r="BN147" s="47"/>
      <c r="BO147" s="41"/>
      <c r="BP147" s="42"/>
      <c r="BQ147" s="42"/>
      <c r="BR147" s="183"/>
      <c r="BS147" s="183"/>
      <c r="BT147" s="48"/>
      <c r="BU147" s="48"/>
    </row>
    <row r="148" spans="1:73" s="23" customFormat="1" x14ac:dyDescent="0.25">
      <c r="A148" s="10">
        <v>69</v>
      </c>
      <c r="B148" s="33" t="s">
        <v>37</v>
      </c>
      <c r="C148" s="34">
        <v>0</v>
      </c>
      <c r="D148" s="35">
        <v>0</v>
      </c>
      <c r="E148" s="35">
        <v>0</v>
      </c>
      <c r="F148" s="93"/>
      <c r="G148" s="36"/>
      <c r="H148" s="34">
        <v>4</v>
      </c>
      <c r="I148" s="35">
        <v>5</v>
      </c>
      <c r="J148" s="35">
        <v>5</v>
      </c>
      <c r="K148" s="93"/>
      <c r="L148" s="36"/>
      <c r="M148" s="34">
        <v>1</v>
      </c>
      <c r="N148" s="35">
        <v>1</v>
      </c>
      <c r="O148" s="35">
        <v>0</v>
      </c>
      <c r="P148" s="93"/>
      <c r="Q148" s="36"/>
      <c r="R148" s="34">
        <v>0</v>
      </c>
      <c r="S148" s="35">
        <v>0</v>
      </c>
      <c r="T148" s="35">
        <v>0</v>
      </c>
      <c r="U148" s="35">
        <v>0</v>
      </c>
      <c r="V148" s="35">
        <v>0</v>
      </c>
      <c r="W148" s="93"/>
      <c r="X148" s="36"/>
      <c r="Y148" s="34"/>
      <c r="Z148" s="35"/>
      <c r="AA148" s="35"/>
      <c r="AB148" s="93"/>
      <c r="AC148" s="35"/>
      <c r="AD148" s="154"/>
      <c r="AE148" s="90"/>
      <c r="AF148" s="34">
        <v>533</v>
      </c>
      <c r="AG148" s="35">
        <v>533</v>
      </c>
      <c r="AH148" s="35">
        <v>674</v>
      </c>
      <c r="AI148" s="39">
        <v>674</v>
      </c>
      <c r="AJ148" s="39">
        <v>674</v>
      </c>
      <c r="AK148" s="182"/>
      <c r="AL148" s="40"/>
      <c r="AM148" s="38">
        <v>0</v>
      </c>
      <c r="AN148" s="39">
        <v>0</v>
      </c>
      <c r="AO148" s="39">
        <v>108</v>
      </c>
      <c r="AP148" s="39">
        <v>111</v>
      </c>
      <c r="AQ148" s="39">
        <v>10</v>
      </c>
      <c r="AR148" s="182"/>
      <c r="AS148" s="40"/>
      <c r="AT148" s="41">
        <f>AM148/AF148</f>
        <v>0</v>
      </c>
      <c r="AU148" s="42">
        <f>AN148/AG148</f>
        <v>0</v>
      </c>
      <c r="AV148" s="42">
        <f>AO148/AH148</f>
        <v>0.16023738872403562</v>
      </c>
      <c r="AW148" s="42">
        <f>AP148/AI148</f>
        <v>0.16468842729970326</v>
      </c>
      <c r="AX148" s="42">
        <f>AQ148/AJ148</f>
        <v>1.483679525222552E-2</v>
      </c>
      <c r="AY148" s="183"/>
      <c r="AZ148" s="43"/>
      <c r="BA148" s="41"/>
      <c r="BB148" s="44">
        <f>(AU148-$AT148)*100</f>
        <v>0</v>
      </c>
      <c r="BC148" s="44">
        <f>(AV148-$AT148)*100</f>
        <v>16.023738872403563</v>
      </c>
      <c r="BD148" s="44">
        <f>(AW148-$AT148)*100</f>
        <v>16.468842729970326</v>
      </c>
      <c r="BE148" s="44">
        <f>(AX148-$AT148)*100</f>
        <v>1.4836795252225521</v>
      </c>
      <c r="BF148" s="184"/>
      <c r="BG148" s="45"/>
      <c r="BH148" s="34" t="s">
        <v>226</v>
      </c>
      <c r="BI148" s="46">
        <f>(AU148-AT148)*100</f>
        <v>0</v>
      </c>
      <c r="BJ148" s="46">
        <f>(AV148-AU148)*100</f>
        <v>16.023738872403563</v>
      </c>
      <c r="BK148" s="46">
        <f>(AW148-AV148)*100</f>
        <v>0.44510385756676429</v>
      </c>
      <c r="BL148" s="46">
        <f>(AX148-AW148)*100</f>
        <v>-14.985163204747773</v>
      </c>
      <c r="BM148" s="185"/>
      <c r="BN148" s="47"/>
      <c r="BO148" s="41">
        <f t="shared" ref="BO148:BP150" si="91">T148/M148</f>
        <v>0</v>
      </c>
      <c r="BP148" s="42">
        <f t="shared" si="91"/>
        <v>0</v>
      </c>
      <c r="BQ148" s="42"/>
      <c r="BR148" s="183"/>
      <c r="BS148" s="183"/>
      <c r="BT148" s="48"/>
      <c r="BU148" s="48"/>
    </row>
    <row r="149" spans="1:73" s="14" customFormat="1" x14ac:dyDescent="0.25">
      <c r="A149" s="13">
        <v>70</v>
      </c>
      <c r="B149" s="59" t="s">
        <v>176</v>
      </c>
      <c r="C149" s="60">
        <v>0</v>
      </c>
      <c r="D149" s="61">
        <v>0</v>
      </c>
      <c r="E149" s="61">
        <v>0</v>
      </c>
      <c r="F149" s="145">
        <v>6</v>
      </c>
      <c r="G149" s="62">
        <v>0</v>
      </c>
      <c r="H149" s="60">
        <v>160</v>
      </c>
      <c r="I149" s="61">
        <v>160</v>
      </c>
      <c r="J149" s="61">
        <v>160</v>
      </c>
      <c r="K149" s="145">
        <v>158</v>
      </c>
      <c r="L149" s="62">
        <v>152</v>
      </c>
      <c r="M149" s="60">
        <v>35</v>
      </c>
      <c r="N149" s="61">
        <v>51</v>
      </c>
      <c r="O149" s="61">
        <v>36</v>
      </c>
      <c r="P149" s="145">
        <v>35</v>
      </c>
      <c r="Q149" s="62">
        <v>20</v>
      </c>
      <c r="R149" s="60">
        <v>7</v>
      </c>
      <c r="S149" s="61">
        <v>0</v>
      </c>
      <c r="T149" s="61">
        <v>12</v>
      </c>
      <c r="U149" s="61">
        <v>0</v>
      </c>
      <c r="V149" s="61">
        <v>0</v>
      </c>
      <c r="W149" s="145">
        <v>7</v>
      </c>
      <c r="X149" s="62">
        <v>3</v>
      </c>
      <c r="Y149" s="60"/>
      <c r="Z149" s="61">
        <v>25.98</v>
      </c>
      <c r="AA149" s="61">
        <v>31.18</v>
      </c>
      <c r="AB149" s="145">
        <v>36.369999999999997</v>
      </c>
      <c r="AC149" s="61">
        <v>34.56</v>
      </c>
      <c r="AD149" s="145">
        <v>34.56</v>
      </c>
      <c r="AE149" s="62">
        <v>35.47</v>
      </c>
      <c r="AF149" s="270"/>
      <c r="AG149" s="65"/>
      <c r="AH149" s="65"/>
      <c r="AI149" s="65">
        <v>35881</v>
      </c>
      <c r="AJ149" s="65">
        <v>33804</v>
      </c>
      <c r="AK149" s="196">
        <v>36795</v>
      </c>
      <c r="AL149" s="66">
        <v>37323</v>
      </c>
      <c r="AM149" s="270"/>
      <c r="AN149" s="65"/>
      <c r="AO149" s="65"/>
      <c r="AP149" s="65">
        <v>3051</v>
      </c>
      <c r="AQ149" s="65">
        <v>5023</v>
      </c>
      <c r="AR149" s="196">
        <v>3935</v>
      </c>
      <c r="AS149" s="66">
        <v>3347</v>
      </c>
      <c r="AT149" s="276"/>
      <c r="AU149" s="67"/>
      <c r="AV149" s="67"/>
      <c r="AW149" s="67">
        <f t="shared" si="72"/>
        <v>8.5031074942169951E-2</v>
      </c>
      <c r="AX149" s="67">
        <f t="shared" si="73"/>
        <v>0.14859188261744172</v>
      </c>
      <c r="AY149" s="190">
        <f t="shared" si="83"/>
        <v>0.10694387824432668</v>
      </c>
      <c r="AZ149" s="68">
        <f t="shared" si="84"/>
        <v>8.9676606917986235E-2</v>
      </c>
      <c r="BA149" s="276" t="s">
        <v>226</v>
      </c>
      <c r="BB149" s="69"/>
      <c r="BC149" s="69"/>
      <c r="BD149" s="69"/>
      <c r="BE149" s="69"/>
      <c r="BF149" s="199"/>
      <c r="BG149" s="70"/>
      <c r="BH149" s="60" t="s">
        <v>226</v>
      </c>
      <c r="BI149" s="71"/>
      <c r="BJ149" s="71"/>
      <c r="BK149" s="71"/>
      <c r="BL149" s="71">
        <f t="shared" si="63"/>
        <v>6.3560807675271764</v>
      </c>
      <c r="BM149" s="200">
        <f t="shared" si="89"/>
        <v>-4.164800437311504</v>
      </c>
      <c r="BN149" s="72">
        <f t="shared" si="86"/>
        <v>-1.7267271326340441</v>
      </c>
      <c r="BO149" s="276">
        <f t="shared" si="91"/>
        <v>0.34285714285714286</v>
      </c>
      <c r="BP149" s="67">
        <f t="shared" si="91"/>
        <v>0</v>
      </c>
      <c r="BQ149" s="67">
        <f t="shared" ref="BQ149:BS150" si="92">V149/O149</f>
        <v>0</v>
      </c>
      <c r="BR149" s="190">
        <f t="shared" si="92"/>
        <v>0.2</v>
      </c>
      <c r="BS149" s="190">
        <f t="shared" si="92"/>
        <v>0.15</v>
      </c>
      <c r="BT149" s="73">
        <f t="shared" si="87"/>
        <v>2.6331018518518417E-2</v>
      </c>
      <c r="BU149" s="73">
        <f>(Q149-P149)/P149</f>
        <v>-0.42857142857142855</v>
      </c>
    </row>
    <row r="150" spans="1:73" s="14" customFormat="1" x14ac:dyDescent="0.25">
      <c r="A150" s="13"/>
      <c r="B150" s="59" t="s">
        <v>177</v>
      </c>
      <c r="C150" s="60">
        <v>0</v>
      </c>
      <c r="D150" s="61">
        <v>0</v>
      </c>
      <c r="E150" s="61">
        <v>0</v>
      </c>
      <c r="F150" s="145">
        <v>3</v>
      </c>
      <c r="G150" s="62">
        <v>3</v>
      </c>
      <c r="H150" s="60">
        <v>53</v>
      </c>
      <c r="I150" s="61">
        <v>53</v>
      </c>
      <c r="J150" s="61">
        <v>53</v>
      </c>
      <c r="K150" s="145">
        <v>53</v>
      </c>
      <c r="L150" s="62">
        <v>53</v>
      </c>
      <c r="M150" s="60">
        <v>1</v>
      </c>
      <c r="N150" s="61">
        <v>7</v>
      </c>
      <c r="O150" s="61">
        <v>13</v>
      </c>
      <c r="P150" s="145">
        <v>18</v>
      </c>
      <c r="Q150" s="62">
        <v>12</v>
      </c>
      <c r="R150" s="60"/>
      <c r="S150" s="61"/>
      <c r="T150" s="61">
        <v>1</v>
      </c>
      <c r="U150" s="61">
        <v>1</v>
      </c>
      <c r="V150" s="61"/>
      <c r="W150" s="145">
        <v>1</v>
      </c>
      <c r="X150" s="62">
        <v>1</v>
      </c>
      <c r="Y150" s="85">
        <v>22.6</v>
      </c>
      <c r="Z150" s="61">
        <v>32.9</v>
      </c>
      <c r="AA150" s="61">
        <v>46.08</v>
      </c>
      <c r="AB150" s="145">
        <v>39.72</v>
      </c>
      <c r="AC150" s="61">
        <v>39.72</v>
      </c>
      <c r="AD150" s="152">
        <v>39.72</v>
      </c>
      <c r="AE150" s="152">
        <v>39.72</v>
      </c>
      <c r="AF150" s="270">
        <v>9184</v>
      </c>
      <c r="AG150" s="65">
        <v>9907</v>
      </c>
      <c r="AH150" s="65">
        <v>16094</v>
      </c>
      <c r="AI150" s="65">
        <v>20406</v>
      </c>
      <c r="AJ150" s="65">
        <v>19928</v>
      </c>
      <c r="AK150" s="196">
        <v>19618</v>
      </c>
      <c r="AL150" s="66">
        <v>16343</v>
      </c>
      <c r="AM150" s="270"/>
      <c r="AN150" s="65"/>
      <c r="AO150" s="65"/>
      <c r="AP150" s="65">
        <v>936</v>
      </c>
      <c r="AQ150" s="65">
        <v>3715</v>
      </c>
      <c r="AR150" s="196">
        <v>3505</v>
      </c>
      <c r="AS150" s="66">
        <v>2028</v>
      </c>
      <c r="AT150" s="276">
        <f t="shared" si="69"/>
        <v>0</v>
      </c>
      <c r="AU150" s="67">
        <f t="shared" si="70"/>
        <v>0</v>
      </c>
      <c r="AV150" s="67">
        <f t="shared" si="71"/>
        <v>0</v>
      </c>
      <c r="AW150" s="67">
        <f t="shared" si="72"/>
        <v>4.5868862099382533E-2</v>
      </c>
      <c r="AX150" s="67">
        <f t="shared" si="73"/>
        <v>0.18642111601766359</v>
      </c>
      <c r="AY150" s="190">
        <f t="shared" si="83"/>
        <v>0.178662452849424</v>
      </c>
      <c r="AZ150" s="68">
        <f t="shared" si="84"/>
        <v>0.12408982438964694</v>
      </c>
      <c r="BA150" s="276" t="s">
        <v>226</v>
      </c>
      <c r="BB150" s="69"/>
      <c r="BC150" s="69"/>
      <c r="BD150" s="69"/>
      <c r="BE150" s="69"/>
      <c r="BF150" s="199"/>
      <c r="BG150" s="70"/>
      <c r="BH150" s="60" t="s">
        <v>226</v>
      </c>
      <c r="BI150" s="71"/>
      <c r="BJ150" s="71"/>
      <c r="BK150" s="71">
        <f t="shared" si="62"/>
        <v>4.5868862099382532</v>
      </c>
      <c r="BL150" s="71">
        <f t="shared" si="63"/>
        <v>14.055225391828104</v>
      </c>
      <c r="BM150" s="200">
        <f t="shared" si="89"/>
        <v>-0.77586631682395879</v>
      </c>
      <c r="BN150" s="72">
        <f t="shared" si="86"/>
        <v>-5.4572628459777057</v>
      </c>
      <c r="BO150" s="276">
        <f t="shared" si="91"/>
        <v>1</v>
      </c>
      <c r="BP150" s="67">
        <f t="shared" si="91"/>
        <v>0.14285714285714285</v>
      </c>
      <c r="BQ150" s="67">
        <f t="shared" si="92"/>
        <v>0</v>
      </c>
      <c r="BR150" s="190">
        <f t="shared" si="92"/>
        <v>5.5555555555555552E-2</v>
      </c>
      <c r="BS150" s="190">
        <f t="shared" si="92"/>
        <v>8.3333333333333329E-2</v>
      </c>
      <c r="BT150" s="73">
        <f t="shared" si="87"/>
        <v>0</v>
      </c>
      <c r="BU150" s="73">
        <f>(Q150-P150)/P150</f>
        <v>-0.33333333333333331</v>
      </c>
    </row>
    <row r="151" spans="1:73" s="14" customFormat="1" x14ac:dyDescent="0.25">
      <c r="A151" s="13">
        <v>71</v>
      </c>
      <c r="B151" s="59" t="s">
        <v>38</v>
      </c>
      <c r="C151" s="60"/>
      <c r="D151" s="61"/>
      <c r="E151" s="61"/>
      <c r="F151" s="145">
        <v>1</v>
      </c>
      <c r="G151" s="62">
        <v>3</v>
      </c>
      <c r="H151" s="60"/>
      <c r="I151" s="61"/>
      <c r="J151" s="61"/>
      <c r="K151" s="145">
        <v>579</v>
      </c>
      <c r="L151" s="62">
        <v>487</v>
      </c>
      <c r="M151" s="60"/>
      <c r="N151" s="61"/>
      <c r="O151" s="61"/>
      <c r="P151" s="145">
        <v>136</v>
      </c>
      <c r="Q151" s="62">
        <v>121</v>
      </c>
      <c r="R151" s="60"/>
      <c r="S151" s="61"/>
      <c r="T151" s="61"/>
      <c r="U151" s="61"/>
      <c r="V151" s="61"/>
      <c r="W151" s="145">
        <v>74</v>
      </c>
      <c r="X151" s="62">
        <v>46</v>
      </c>
      <c r="Y151" s="60"/>
      <c r="Z151" s="61"/>
      <c r="AA151" s="61"/>
      <c r="AB151" s="145"/>
      <c r="AC151" s="61"/>
      <c r="AD151" s="152"/>
      <c r="AE151" s="64">
        <v>33.380000000000003</v>
      </c>
      <c r="AF151" s="270"/>
      <c r="AG151" s="65"/>
      <c r="AH151" s="65"/>
      <c r="AI151" s="65"/>
      <c r="AJ151" s="65"/>
      <c r="AK151" s="196">
        <v>180675</v>
      </c>
      <c r="AL151" s="66">
        <v>172425</v>
      </c>
      <c r="AM151" s="270"/>
      <c r="AN151" s="65"/>
      <c r="AO151" s="65"/>
      <c r="AP151" s="65"/>
      <c r="AQ151" s="65"/>
      <c r="AR151" s="196">
        <v>74687</v>
      </c>
      <c r="AS151" s="66">
        <v>27761</v>
      </c>
      <c r="AT151" s="276"/>
      <c r="AU151" s="67"/>
      <c r="AV151" s="67"/>
      <c r="AW151" s="67"/>
      <c r="AX151" s="67"/>
      <c r="AY151" s="190">
        <f t="shared" si="83"/>
        <v>0.41337761173377613</v>
      </c>
      <c r="AZ151" s="68">
        <f t="shared" si="84"/>
        <v>0.16100333478323908</v>
      </c>
      <c r="BA151" s="276" t="s">
        <v>226</v>
      </c>
      <c r="BB151" s="69"/>
      <c r="BC151" s="69"/>
      <c r="BD151" s="69"/>
      <c r="BE151" s="69"/>
      <c r="BF151" s="199"/>
      <c r="BG151" s="70"/>
      <c r="BH151" s="60" t="s">
        <v>226</v>
      </c>
      <c r="BI151" s="71"/>
      <c r="BJ151" s="71"/>
      <c r="BK151" s="71"/>
      <c r="BL151" s="71"/>
      <c r="BM151" s="200"/>
      <c r="BN151" s="72">
        <f t="shared" si="86"/>
        <v>-25.237427695053704</v>
      </c>
      <c r="BO151" s="276"/>
      <c r="BP151" s="67"/>
      <c r="BQ151" s="67"/>
      <c r="BR151" s="190">
        <f>W151/P151</f>
        <v>0.54411764705882348</v>
      </c>
      <c r="BS151" s="190">
        <f>X151/Q151</f>
        <v>0.38016528925619836</v>
      </c>
      <c r="BT151" s="73"/>
      <c r="BU151" s="73">
        <f>(Q151-P151)/P151</f>
        <v>-0.11029411764705882</v>
      </c>
    </row>
    <row r="152" spans="1:73" s="9" customFormat="1" x14ac:dyDescent="0.25">
      <c r="A152" s="12">
        <v>72</v>
      </c>
      <c r="B152" s="17" t="s">
        <v>379</v>
      </c>
      <c r="C152" s="2">
        <v>0</v>
      </c>
      <c r="D152" s="3">
        <v>0</v>
      </c>
      <c r="E152" s="3">
        <v>2</v>
      </c>
      <c r="F152" s="144">
        <v>6</v>
      </c>
      <c r="G152" s="4">
        <v>9</v>
      </c>
      <c r="H152" s="2">
        <v>2305</v>
      </c>
      <c r="I152" s="3">
        <v>2303</v>
      </c>
      <c r="J152" s="3">
        <v>2303</v>
      </c>
      <c r="K152" s="144">
        <v>2219</v>
      </c>
      <c r="L152" s="4">
        <v>2090</v>
      </c>
      <c r="M152" s="2">
        <v>860</v>
      </c>
      <c r="N152" s="3">
        <v>1083</v>
      </c>
      <c r="O152" s="3">
        <v>1286</v>
      </c>
      <c r="P152" s="144">
        <v>424</v>
      </c>
      <c r="Q152" s="4">
        <v>386</v>
      </c>
      <c r="R152" s="2">
        <v>31</v>
      </c>
      <c r="S152" s="3">
        <v>5</v>
      </c>
      <c r="T152" s="3">
        <v>21</v>
      </c>
      <c r="U152" s="3">
        <v>63</v>
      </c>
      <c r="V152" s="3">
        <v>41</v>
      </c>
      <c r="W152" s="144">
        <v>41</v>
      </c>
      <c r="X152" s="4">
        <v>66</v>
      </c>
      <c r="Y152" s="2">
        <v>23.89</v>
      </c>
      <c r="Z152" s="3">
        <v>30.11</v>
      </c>
      <c r="AA152" s="49">
        <v>39.200000000000003</v>
      </c>
      <c r="AB152" s="144">
        <v>39.18</v>
      </c>
      <c r="AC152" s="3">
        <v>39.18</v>
      </c>
      <c r="AD152" s="153">
        <v>38.130000000000003</v>
      </c>
      <c r="AE152" s="153">
        <v>38.130000000000003</v>
      </c>
      <c r="AF152" s="19">
        <v>417704.93</v>
      </c>
      <c r="AG152" s="20">
        <v>437784.75</v>
      </c>
      <c r="AH152" s="20">
        <v>569670.18000000005</v>
      </c>
      <c r="AI152" s="20">
        <v>675940.65</v>
      </c>
      <c r="AJ152" s="20">
        <v>646779.71</v>
      </c>
      <c r="AK152" s="210">
        <v>682277.48</v>
      </c>
      <c r="AL152" s="21">
        <v>625048.62</v>
      </c>
      <c r="AM152" s="19">
        <v>20709.849999999999</v>
      </c>
      <c r="AN152" s="20">
        <v>17741.560000000001</v>
      </c>
      <c r="AO152" s="20">
        <v>24551.39</v>
      </c>
      <c r="AP152" s="20">
        <v>40978.92</v>
      </c>
      <c r="AQ152" s="20">
        <v>73865.45</v>
      </c>
      <c r="AR152" s="210">
        <v>97920.36</v>
      </c>
      <c r="AS152" s="21">
        <v>110025.23</v>
      </c>
      <c r="AT152" s="50">
        <f t="shared" si="69"/>
        <v>4.9580094733380327E-2</v>
      </c>
      <c r="AU152" s="51">
        <f t="shared" si="70"/>
        <v>4.0525760662060525E-2</v>
      </c>
      <c r="AV152" s="51">
        <f t="shared" si="71"/>
        <v>4.3097551639441609E-2</v>
      </c>
      <c r="AW152" s="51">
        <f t="shared" si="72"/>
        <v>6.0625026768252502E-2</v>
      </c>
      <c r="AX152" s="51">
        <f t="shared" si="73"/>
        <v>0.1142049585940165</v>
      </c>
      <c r="AY152" s="211">
        <f t="shared" si="83"/>
        <v>0.14351984767253348</v>
      </c>
      <c r="AZ152" s="52">
        <f t="shared" si="84"/>
        <v>0.17602667453293472</v>
      </c>
      <c r="BA152" s="50" t="s">
        <v>226</v>
      </c>
      <c r="BB152" s="53">
        <f t="shared" si="56"/>
        <v>-0.90543340713198017</v>
      </c>
      <c r="BC152" s="53">
        <f t="shared" si="57"/>
        <v>-0.64825430939387185</v>
      </c>
      <c r="BD152" s="53">
        <f t="shared" si="58"/>
        <v>1.1044932034872175</v>
      </c>
      <c r="BE152" s="53">
        <f t="shared" si="59"/>
        <v>6.4624863860636177</v>
      </c>
      <c r="BF152" s="212">
        <f t="shared" si="88"/>
        <v>9.3939752939153163</v>
      </c>
      <c r="BG152" s="54">
        <f t="shared" si="85"/>
        <v>12.64465797995544</v>
      </c>
      <c r="BH152" s="2" t="s">
        <v>226</v>
      </c>
      <c r="BI152" s="55">
        <f t="shared" si="60"/>
        <v>-0.90543340713198017</v>
      </c>
      <c r="BJ152" s="55">
        <f t="shared" si="61"/>
        <v>0.25717909773810832</v>
      </c>
      <c r="BK152" s="55">
        <f t="shared" si="62"/>
        <v>1.7527475128810894</v>
      </c>
      <c r="BL152" s="55">
        <f t="shared" si="63"/>
        <v>5.3579931825763998</v>
      </c>
      <c r="BM152" s="213">
        <f t="shared" si="89"/>
        <v>2.9314889078516981</v>
      </c>
      <c r="BN152" s="56">
        <f t="shared" si="86"/>
        <v>3.2506826860401237</v>
      </c>
      <c r="BO152" s="50">
        <f>T152/M152</f>
        <v>2.441860465116279E-2</v>
      </c>
      <c r="BP152" s="51">
        <f>U152/N152</f>
        <v>5.817174515235457E-2</v>
      </c>
      <c r="BQ152" s="51">
        <f>V152/O152</f>
        <v>3.1881804043545882E-2</v>
      </c>
      <c r="BR152" s="211">
        <f>W152/P152</f>
        <v>9.6698113207547176E-2</v>
      </c>
      <c r="BS152" s="211">
        <f>X152/Q152</f>
        <v>0.17098445595854922</v>
      </c>
      <c r="BT152" s="57">
        <f t="shared" si="87"/>
        <v>0</v>
      </c>
      <c r="BU152" s="57">
        <f>(Q152-P152)/P152</f>
        <v>-8.9622641509433956E-2</v>
      </c>
    </row>
    <row r="153" spans="1:73" x14ac:dyDescent="0.25">
      <c r="A153" s="15">
        <v>73</v>
      </c>
      <c r="B153" s="74" t="s">
        <v>39</v>
      </c>
      <c r="C153" s="246"/>
      <c r="D153" s="75"/>
      <c r="E153" s="75"/>
      <c r="F153" s="146"/>
      <c r="G153" s="76"/>
      <c r="H153" s="246"/>
      <c r="I153" s="75"/>
      <c r="J153" s="75"/>
      <c r="K153" s="146"/>
      <c r="L153" s="76"/>
      <c r="M153" s="246"/>
      <c r="N153" s="75"/>
      <c r="O153" s="75"/>
      <c r="P153" s="146"/>
      <c r="Q153" s="76"/>
      <c r="R153" s="246"/>
      <c r="S153" s="75"/>
      <c r="T153" s="75"/>
      <c r="U153" s="75"/>
      <c r="V153" s="75"/>
      <c r="W153" s="146"/>
      <c r="X153" s="76"/>
      <c r="Y153" s="246"/>
      <c r="Z153" s="75"/>
      <c r="AA153" s="75"/>
      <c r="AB153" s="146"/>
      <c r="AC153" s="75"/>
      <c r="AD153" s="258"/>
      <c r="AE153" s="160"/>
      <c r="AF153" s="271"/>
      <c r="AG153" s="77"/>
      <c r="AH153" s="77"/>
      <c r="AI153" s="77"/>
      <c r="AJ153" s="77"/>
      <c r="AK153" s="265"/>
      <c r="AL153" s="78"/>
      <c r="AM153" s="271"/>
      <c r="AN153" s="77"/>
      <c r="AO153" s="77"/>
      <c r="AP153" s="77"/>
      <c r="AQ153" s="77"/>
      <c r="AR153" s="265"/>
      <c r="AS153" s="78"/>
      <c r="AT153" s="277"/>
      <c r="AU153" s="79"/>
      <c r="AV153" s="79"/>
      <c r="AW153" s="79"/>
      <c r="AX153" s="79"/>
      <c r="AY153" s="274"/>
      <c r="AZ153" s="80"/>
      <c r="BA153" s="277" t="s">
        <v>226</v>
      </c>
      <c r="BB153" s="81"/>
      <c r="BC153" s="81"/>
      <c r="BD153" s="81"/>
      <c r="BE153" s="81"/>
      <c r="BF153" s="282"/>
      <c r="BG153" s="82"/>
      <c r="BH153" s="246" t="s">
        <v>226</v>
      </c>
      <c r="BI153" s="83"/>
      <c r="BJ153" s="83"/>
      <c r="BK153" s="83"/>
      <c r="BL153" s="83"/>
      <c r="BM153" s="286"/>
      <c r="BN153" s="84"/>
      <c r="BO153" s="277"/>
      <c r="BP153" s="79"/>
      <c r="BQ153" s="79"/>
      <c r="BR153" s="274"/>
      <c r="BS153" s="274"/>
      <c r="BT153" s="419"/>
      <c r="BU153" s="419"/>
    </row>
    <row r="154" spans="1:73" s="14" customFormat="1" x14ac:dyDescent="0.25">
      <c r="A154" s="13">
        <v>74</v>
      </c>
      <c r="B154" s="59" t="s">
        <v>40</v>
      </c>
      <c r="C154" s="60">
        <v>23</v>
      </c>
      <c r="D154" s="61">
        <v>25</v>
      </c>
      <c r="E154" s="61">
        <v>25</v>
      </c>
      <c r="F154" s="145"/>
      <c r="G154" s="62"/>
      <c r="H154" s="60">
        <v>0</v>
      </c>
      <c r="I154" s="61">
        <v>0</v>
      </c>
      <c r="J154" s="61">
        <v>0</v>
      </c>
      <c r="K154" s="145"/>
      <c r="L154" s="62"/>
      <c r="M154" s="60">
        <v>30</v>
      </c>
      <c r="N154" s="61">
        <v>70</v>
      </c>
      <c r="O154" s="61">
        <v>92</v>
      </c>
      <c r="P154" s="145"/>
      <c r="Q154" s="62"/>
      <c r="R154" s="60">
        <v>0</v>
      </c>
      <c r="S154" s="61">
        <v>0</v>
      </c>
      <c r="T154" s="61">
        <v>1</v>
      </c>
      <c r="U154" s="61">
        <v>3</v>
      </c>
      <c r="V154" s="61">
        <v>15</v>
      </c>
      <c r="W154" s="145"/>
      <c r="X154" s="62"/>
      <c r="Y154" s="60"/>
      <c r="Z154" s="61">
        <v>26.37</v>
      </c>
      <c r="AA154" s="61">
        <v>30.42</v>
      </c>
      <c r="AB154" s="145">
        <v>26.43</v>
      </c>
      <c r="AC154" s="61">
        <v>26.43</v>
      </c>
      <c r="AD154" s="152"/>
      <c r="AE154" s="64"/>
      <c r="AF154" s="270"/>
      <c r="AG154" s="65"/>
      <c r="AH154" s="65">
        <v>146958</v>
      </c>
      <c r="AI154" s="65">
        <v>138925</v>
      </c>
      <c r="AJ154" s="65">
        <v>71803</v>
      </c>
      <c r="AK154" s="196"/>
      <c r="AL154" s="66"/>
      <c r="AM154" s="270"/>
      <c r="AN154" s="65"/>
      <c r="AO154" s="65">
        <v>34041</v>
      </c>
      <c r="AP154" s="65">
        <v>38285</v>
      </c>
      <c r="AQ154" s="65">
        <v>25987</v>
      </c>
      <c r="AR154" s="196"/>
      <c r="AS154" s="66"/>
      <c r="AT154" s="276"/>
      <c r="AU154" s="67"/>
      <c r="AV154" s="67">
        <f t="shared" si="71"/>
        <v>0.2316376107459274</v>
      </c>
      <c r="AW154" s="67">
        <f t="shared" si="72"/>
        <v>0.27558034910923163</v>
      </c>
      <c r="AX154" s="67">
        <f t="shared" si="73"/>
        <v>0.36192081110817098</v>
      </c>
      <c r="AY154" s="190"/>
      <c r="AZ154" s="68"/>
      <c r="BA154" s="276" t="s">
        <v>226</v>
      </c>
      <c r="BB154" s="69"/>
      <c r="BC154" s="69"/>
      <c r="BD154" s="69"/>
      <c r="BE154" s="69"/>
      <c r="BF154" s="199"/>
      <c r="BG154" s="70"/>
      <c r="BH154" s="60" t="s">
        <v>226</v>
      </c>
      <c r="BI154" s="71"/>
      <c r="BJ154" s="71"/>
      <c r="BK154" s="71">
        <f t="shared" si="62"/>
        <v>4.3942738363304228</v>
      </c>
      <c r="BL154" s="71">
        <f t="shared" si="63"/>
        <v>8.6340461998939357</v>
      </c>
      <c r="BM154" s="200"/>
      <c r="BN154" s="72"/>
      <c r="BO154" s="276">
        <f>T154/M154</f>
        <v>3.3333333333333333E-2</v>
      </c>
      <c r="BP154" s="67">
        <f>U154/N154</f>
        <v>4.2857142857142858E-2</v>
      </c>
      <c r="BQ154" s="67">
        <f>V154/O154</f>
        <v>0.16304347826086957</v>
      </c>
      <c r="BR154" s="190"/>
      <c r="BS154" s="190"/>
      <c r="BT154" s="73"/>
      <c r="BU154" s="73"/>
    </row>
    <row r="155" spans="1:73" s="14" customFormat="1" x14ac:dyDescent="0.25">
      <c r="A155" s="13"/>
      <c r="B155" s="59" t="s">
        <v>332</v>
      </c>
      <c r="C155" s="60"/>
      <c r="D155" s="61"/>
      <c r="E155" s="61"/>
      <c r="F155" s="145">
        <v>0</v>
      </c>
      <c r="G155" s="62">
        <v>24</v>
      </c>
      <c r="H155" s="60"/>
      <c r="I155" s="61"/>
      <c r="J155" s="61"/>
      <c r="K155" s="145">
        <v>1019</v>
      </c>
      <c r="L155" s="62">
        <v>1048</v>
      </c>
      <c r="M155" s="60"/>
      <c r="N155" s="61"/>
      <c r="O155" s="61"/>
      <c r="P155" s="145">
        <v>254</v>
      </c>
      <c r="Q155" s="62">
        <v>252</v>
      </c>
      <c r="R155" s="60"/>
      <c r="S155" s="61"/>
      <c r="T155" s="61"/>
      <c r="U155" s="61"/>
      <c r="V155" s="61"/>
      <c r="W155" s="145">
        <v>9</v>
      </c>
      <c r="X155" s="62">
        <v>35</v>
      </c>
      <c r="Y155" s="60"/>
      <c r="Z155" s="61"/>
      <c r="AA155" s="61"/>
      <c r="AB155" s="145"/>
      <c r="AC155" s="61"/>
      <c r="AD155" s="152">
        <v>47.21</v>
      </c>
      <c r="AE155" s="152">
        <v>47.21</v>
      </c>
      <c r="AF155" s="270"/>
      <c r="AG155" s="65"/>
      <c r="AH155" s="65"/>
      <c r="AI155" s="65"/>
      <c r="AJ155" s="65"/>
      <c r="AK155" s="196">
        <v>291843.7</v>
      </c>
      <c r="AL155" s="66">
        <v>284867.25</v>
      </c>
      <c r="AM155" s="270"/>
      <c r="AN155" s="65"/>
      <c r="AO155" s="65"/>
      <c r="AP155" s="65"/>
      <c r="AQ155" s="65"/>
      <c r="AR155" s="196">
        <v>132756.99</v>
      </c>
      <c r="AS155" s="66">
        <v>23212.06</v>
      </c>
      <c r="AT155" s="276"/>
      <c r="AU155" s="67"/>
      <c r="AV155" s="67"/>
      <c r="AW155" s="67"/>
      <c r="AX155" s="67"/>
      <c r="AY155" s="190">
        <f t="shared" si="83"/>
        <v>0.4548907171886869</v>
      </c>
      <c r="AZ155" s="68">
        <f t="shared" si="84"/>
        <v>8.1483778847866867E-2</v>
      </c>
      <c r="BA155" s="276"/>
      <c r="BB155" s="69"/>
      <c r="BC155" s="69"/>
      <c r="BD155" s="69"/>
      <c r="BE155" s="69"/>
      <c r="BF155" s="199"/>
      <c r="BG155" s="70"/>
      <c r="BH155" s="60"/>
      <c r="BI155" s="71"/>
      <c r="BJ155" s="71"/>
      <c r="BK155" s="71"/>
      <c r="BL155" s="71"/>
      <c r="BM155" s="200"/>
      <c r="BN155" s="72">
        <f t="shared" si="86"/>
        <v>-37.340693834082003</v>
      </c>
      <c r="BO155" s="276"/>
      <c r="BP155" s="67"/>
      <c r="BQ155" s="67"/>
      <c r="BR155" s="190">
        <f t="shared" ref="BR155:BS157" si="93">W155/P155</f>
        <v>3.5433070866141732E-2</v>
      </c>
      <c r="BS155" s="190">
        <f t="shared" si="93"/>
        <v>0.1388888888888889</v>
      </c>
      <c r="BT155" s="73">
        <f t="shared" si="87"/>
        <v>0</v>
      </c>
      <c r="BU155" s="73">
        <f>(Q155-P155)/P155</f>
        <v>-7.874015748031496E-3</v>
      </c>
    </row>
    <row r="156" spans="1:73" s="14" customFormat="1" x14ac:dyDescent="0.25">
      <c r="A156" s="13"/>
      <c r="B156" s="59" t="s">
        <v>333</v>
      </c>
      <c r="C156" s="60"/>
      <c r="D156" s="61"/>
      <c r="E156" s="61"/>
      <c r="F156" s="145">
        <v>0</v>
      </c>
      <c r="G156" s="62">
        <v>1</v>
      </c>
      <c r="H156" s="60"/>
      <c r="I156" s="61"/>
      <c r="J156" s="61"/>
      <c r="K156" s="145">
        <v>646</v>
      </c>
      <c r="L156" s="62">
        <v>549</v>
      </c>
      <c r="M156" s="60"/>
      <c r="N156" s="61"/>
      <c r="O156" s="61"/>
      <c r="P156" s="145">
        <v>148</v>
      </c>
      <c r="Q156" s="62">
        <v>139</v>
      </c>
      <c r="R156" s="60"/>
      <c r="S156" s="61"/>
      <c r="T156" s="61"/>
      <c r="U156" s="61"/>
      <c r="V156" s="61"/>
      <c r="W156" s="145">
        <v>43</v>
      </c>
      <c r="X156" s="62">
        <v>18</v>
      </c>
      <c r="Y156" s="60"/>
      <c r="Z156" s="61"/>
      <c r="AA156" s="61"/>
      <c r="AB156" s="145"/>
      <c r="AC156" s="61"/>
      <c r="AD156" s="152">
        <v>34.19</v>
      </c>
      <c r="AE156" s="64">
        <v>34.19</v>
      </c>
      <c r="AF156" s="270"/>
      <c r="AG156" s="65"/>
      <c r="AH156" s="65"/>
      <c r="AI156" s="65"/>
      <c r="AJ156" s="65"/>
      <c r="AK156" s="196">
        <v>185592.39</v>
      </c>
      <c r="AL156" s="66">
        <v>139099.18</v>
      </c>
      <c r="AM156" s="270"/>
      <c r="AN156" s="65"/>
      <c r="AO156" s="65"/>
      <c r="AP156" s="65"/>
      <c r="AQ156" s="65"/>
      <c r="AR156" s="196">
        <v>42309.09</v>
      </c>
      <c r="AS156" s="66">
        <v>35135.769999999997</v>
      </c>
      <c r="AT156" s="276"/>
      <c r="AU156" s="67"/>
      <c r="AV156" s="67"/>
      <c r="AW156" s="67"/>
      <c r="AX156" s="67"/>
      <c r="AY156" s="190">
        <f t="shared" si="83"/>
        <v>0.22796780622308918</v>
      </c>
      <c r="AZ156" s="68">
        <f t="shared" si="84"/>
        <v>0.25259509078342518</v>
      </c>
      <c r="BA156" s="276"/>
      <c r="BB156" s="69"/>
      <c r="BC156" s="69"/>
      <c r="BD156" s="69"/>
      <c r="BE156" s="69"/>
      <c r="BF156" s="199"/>
      <c r="BG156" s="70"/>
      <c r="BH156" s="60"/>
      <c r="BI156" s="71"/>
      <c r="BJ156" s="71"/>
      <c r="BK156" s="71"/>
      <c r="BL156" s="71"/>
      <c r="BM156" s="200"/>
      <c r="BN156" s="72">
        <f t="shared" si="86"/>
        <v>2.4627284560336</v>
      </c>
      <c r="BO156" s="276"/>
      <c r="BP156" s="67"/>
      <c r="BQ156" s="67"/>
      <c r="BR156" s="190">
        <f t="shared" si="93"/>
        <v>0.29054054054054052</v>
      </c>
      <c r="BS156" s="190">
        <f t="shared" si="93"/>
        <v>0.12949640287769784</v>
      </c>
      <c r="BT156" s="73">
        <f t="shared" si="87"/>
        <v>0</v>
      </c>
      <c r="BU156" s="73">
        <f>(Q156-P156)/P156</f>
        <v>-6.0810810810810814E-2</v>
      </c>
    </row>
    <row r="157" spans="1:73" s="14" customFormat="1" x14ac:dyDescent="0.25">
      <c r="A157" s="13">
        <v>75</v>
      </c>
      <c r="B157" s="59" t="s">
        <v>41</v>
      </c>
      <c r="C157" s="60"/>
      <c r="D157" s="61"/>
      <c r="E157" s="61"/>
      <c r="F157" s="145">
        <v>0</v>
      </c>
      <c r="G157" s="62">
        <v>0</v>
      </c>
      <c r="H157" s="60"/>
      <c r="I157" s="61"/>
      <c r="J157" s="61"/>
      <c r="K157" s="145">
        <v>243</v>
      </c>
      <c r="L157" s="62">
        <v>243</v>
      </c>
      <c r="M157" s="60"/>
      <c r="N157" s="61"/>
      <c r="O157" s="61"/>
      <c r="P157" s="145">
        <v>42</v>
      </c>
      <c r="Q157" s="62">
        <v>40</v>
      </c>
      <c r="R157" s="60"/>
      <c r="S157" s="61"/>
      <c r="T157" s="61"/>
      <c r="U157" s="61"/>
      <c r="V157" s="61"/>
      <c r="W157" s="145">
        <v>0</v>
      </c>
      <c r="X157" s="62">
        <v>5</v>
      </c>
      <c r="Y157" s="60"/>
      <c r="Z157" s="61"/>
      <c r="AA157" s="61"/>
      <c r="AB157" s="145"/>
      <c r="AC157" s="61"/>
      <c r="AD157" s="63">
        <v>26.17</v>
      </c>
      <c r="AE157" s="331">
        <v>26.17</v>
      </c>
      <c r="AF157" s="270"/>
      <c r="AG157" s="65"/>
      <c r="AH157" s="65"/>
      <c r="AI157" s="65"/>
      <c r="AJ157" s="65"/>
      <c r="AK157" s="196">
        <v>53634</v>
      </c>
      <c r="AL157" s="66">
        <v>64731</v>
      </c>
      <c r="AM157" s="270"/>
      <c r="AN157" s="65"/>
      <c r="AO157" s="65"/>
      <c r="AP157" s="65"/>
      <c r="AQ157" s="65"/>
      <c r="AR157" s="196">
        <v>6074</v>
      </c>
      <c r="AS157" s="66">
        <v>5315</v>
      </c>
      <c r="AT157" s="276"/>
      <c r="AU157" s="67"/>
      <c r="AV157" s="67"/>
      <c r="AW157" s="67"/>
      <c r="AX157" s="67"/>
      <c r="AY157" s="190">
        <f t="shared" si="83"/>
        <v>0.11324905843308349</v>
      </c>
      <c r="AZ157" s="68">
        <f t="shared" si="84"/>
        <v>8.2109035856081328E-2</v>
      </c>
      <c r="BA157" s="276" t="s">
        <v>226</v>
      </c>
      <c r="BB157" s="69"/>
      <c r="BC157" s="69"/>
      <c r="BD157" s="69"/>
      <c r="BE157" s="69"/>
      <c r="BF157" s="199"/>
      <c r="BG157" s="70"/>
      <c r="BH157" s="60" t="s">
        <v>226</v>
      </c>
      <c r="BI157" s="71"/>
      <c r="BJ157" s="71"/>
      <c r="BK157" s="71"/>
      <c r="BL157" s="71"/>
      <c r="BM157" s="200"/>
      <c r="BN157" s="72">
        <f t="shared" si="86"/>
        <v>-3.114002257700216</v>
      </c>
      <c r="BO157" s="276"/>
      <c r="BP157" s="67"/>
      <c r="BQ157" s="67"/>
      <c r="BR157" s="190">
        <f t="shared" si="93"/>
        <v>0</v>
      </c>
      <c r="BS157" s="190">
        <f t="shared" si="93"/>
        <v>0.125</v>
      </c>
      <c r="BT157" s="73">
        <f t="shared" si="87"/>
        <v>0</v>
      </c>
      <c r="BU157" s="73">
        <f>(Q157-P157)/P157</f>
        <v>-4.7619047619047616E-2</v>
      </c>
    </row>
    <row r="158" spans="1:73" x14ac:dyDescent="0.25">
      <c r="A158" s="15">
        <v>76</v>
      </c>
      <c r="B158" s="74" t="s">
        <v>42</v>
      </c>
      <c r="C158" s="246"/>
      <c r="D158" s="75"/>
      <c r="E158" s="75"/>
      <c r="F158" s="146"/>
      <c r="G158" s="76"/>
      <c r="H158" s="246"/>
      <c r="I158" s="75"/>
      <c r="J158" s="75"/>
      <c r="K158" s="146"/>
      <c r="L158" s="76"/>
      <c r="M158" s="246"/>
      <c r="N158" s="75"/>
      <c r="O158" s="75"/>
      <c r="P158" s="146"/>
      <c r="Q158" s="76"/>
      <c r="R158" s="246"/>
      <c r="S158" s="75"/>
      <c r="T158" s="75"/>
      <c r="U158" s="75"/>
      <c r="V158" s="75"/>
      <c r="W158" s="146"/>
      <c r="X158" s="76"/>
      <c r="Y158" s="246"/>
      <c r="Z158" s="75"/>
      <c r="AA158" s="75"/>
      <c r="AB158" s="146"/>
      <c r="AC158" s="75"/>
      <c r="AD158" s="258"/>
      <c r="AE158" s="160"/>
      <c r="AF158" s="271"/>
      <c r="AG158" s="77"/>
      <c r="AH158" s="77"/>
      <c r="AI158" s="77"/>
      <c r="AJ158" s="77"/>
      <c r="AK158" s="265"/>
      <c r="AL158" s="78"/>
      <c r="AM158" s="271"/>
      <c r="AN158" s="77"/>
      <c r="AO158" s="77"/>
      <c r="AP158" s="77"/>
      <c r="AQ158" s="77"/>
      <c r="AR158" s="265"/>
      <c r="AS158" s="78"/>
      <c r="AT158" s="277"/>
      <c r="AU158" s="79"/>
      <c r="AV158" s="79"/>
      <c r="AW158" s="79"/>
      <c r="AX158" s="79"/>
      <c r="AY158" s="274"/>
      <c r="AZ158" s="80"/>
      <c r="BA158" s="277" t="s">
        <v>226</v>
      </c>
      <c r="BB158" s="81"/>
      <c r="BC158" s="81"/>
      <c r="BD158" s="81"/>
      <c r="BE158" s="81"/>
      <c r="BF158" s="282"/>
      <c r="BG158" s="82"/>
      <c r="BH158" s="246" t="s">
        <v>226</v>
      </c>
      <c r="BI158" s="83"/>
      <c r="BJ158" s="83"/>
      <c r="BK158" s="83"/>
      <c r="BL158" s="83"/>
      <c r="BM158" s="286"/>
      <c r="BN158" s="84"/>
      <c r="BO158" s="277"/>
      <c r="BP158" s="79"/>
      <c r="BQ158" s="79"/>
      <c r="BR158" s="274"/>
      <c r="BS158" s="274"/>
      <c r="BT158" s="419"/>
      <c r="BU158" s="419"/>
    </row>
    <row r="159" spans="1:73" s="11" customFormat="1" x14ac:dyDescent="0.25">
      <c r="A159" s="10"/>
      <c r="B159" s="33" t="s">
        <v>268</v>
      </c>
      <c r="C159" s="34">
        <v>5</v>
      </c>
      <c r="D159" s="35">
        <v>5</v>
      </c>
      <c r="E159" s="35">
        <v>5</v>
      </c>
      <c r="F159" s="93"/>
      <c r="G159" s="36"/>
      <c r="H159" s="34">
        <v>35</v>
      </c>
      <c r="I159" s="35">
        <v>36</v>
      </c>
      <c r="J159" s="35">
        <v>36</v>
      </c>
      <c r="K159" s="93"/>
      <c r="L159" s="36"/>
      <c r="M159" s="34">
        <v>6</v>
      </c>
      <c r="N159" s="35">
        <v>5</v>
      </c>
      <c r="O159" s="35">
        <v>11</v>
      </c>
      <c r="P159" s="93"/>
      <c r="Q159" s="36"/>
      <c r="R159" s="34">
        <v>0</v>
      </c>
      <c r="S159" s="35">
        <v>0</v>
      </c>
      <c r="T159" s="35">
        <v>0</v>
      </c>
      <c r="U159" s="35">
        <v>0</v>
      </c>
      <c r="V159" s="35">
        <v>0</v>
      </c>
      <c r="W159" s="93"/>
      <c r="X159" s="36"/>
      <c r="Y159" s="34" t="s">
        <v>87</v>
      </c>
      <c r="Z159" s="35" t="s">
        <v>88</v>
      </c>
      <c r="AA159" s="35" t="s">
        <v>88</v>
      </c>
      <c r="AB159" s="93" t="s">
        <v>89</v>
      </c>
      <c r="AC159" s="35" t="s">
        <v>90</v>
      </c>
      <c r="AD159" s="154"/>
      <c r="AE159" s="90"/>
      <c r="AF159" s="38">
        <v>4000</v>
      </c>
      <c r="AG159" s="39">
        <v>4030</v>
      </c>
      <c r="AH159" s="39">
        <v>5038</v>
      </c>
      <c r="AI159" s="39">
        <v>5068</v>
      </c>
      <c r="AJ159" s="39">
        <v>4766</v>
      </c>
      <c r="AK159" s="182"/>
      <c r="AL159" s="40"/>
      <c r="AM159" s="38">
        <v>450</v>
      </c>
      <c r="AN159" s="39">
        <v>500</v>
      </c>
      <c r="AO159" s="39">
        <v>594</v>
      </c>
      <c r="AP159" s="39">
        <v>495</v>
      </c>
      <c r="AQ159" s="39">
        <v>2296</v>
      </c>
      <c r="AR159" s="182"/>
      <c r="AS159" s="40"/>
      <c r="AT159" s="41">
        <f t="shared" si="69"/>
        <v>0.1125</v>
      </c>
      <c r="AU159" s="42">
        <f t="shared" si="70"/>
        <v>0.12406947890818859</v>
      </c>
      <c r="AV159" s="42">
        <f t="shared" si="71"/>
        <v>0.11790393013100436</v>
      </c>
      <c r="AW159" s="42">
        <f t="shared" si="72"/>
        <v>9.7671665351223361E-2</v>
      </c>
      <c r="AX159" s="42">
        <f t="shared" si="73"/>
        <v>0.48174569869911876</v>
      </c>
      <c r="AY159" s="183"/>
      <c r="AZ159" s="43"/>
      <c r="BA159" s="41" t="s">
        <v>226</v>
      </c>
      <c r="BB159" s="44">
        <f t="shared" si="56"/>
        <v>1.1569478908188588</v>
      </c>
      <c r="BC159" s="44">
        <f t="shared" si="57"/>
        <v>0.54039301310043619</v>
      </c>
      <c r="BD159" s="44">
        <f t="shared" si="58"/>
        <v>-1.4828334648776642</v>
      </c>
      <c r="BE159" s="44">
        <f t="shared" si="59"/>
        <v>36.924569869911878</v>
      </c>
      <c r="BF159" s="184"/>
      <c r="BG159" s="45"/>
      <c r="BH159" s="34" t="s">
        <v>226</v>
      </c>
      <c r="BI159" s="46">
        <f t="shared" ref="BI159:BM243" si="94">(AU159-AT159)*100</f>
        <v>1.1569478908188588</v>
      </c>
      <c r="BJ159" s="46">
        <f t="shared" ref="BJ159:BJ243" si="95">(AV159-AU159)*100</f>
        <v>-0.61655487771842266</v>
      </c>
      <c r="BK159" s="46">
        <f t="shared" ref="BK159:BK243" si="96">(AW159-AV159)*100</f>
        <v>-2.0232264779781004</v>
      </c>
      <c r="BL159" s="46">
        <f t="shared" ref="BL159:BL243" si="97">(AX159-AW159)*100</f>
        <v>38.407403334789542</v>
      </c>
      <c r="BM159" s="185"/>
      <c r="BN159" s="47"/>
      <c r="BO159" s="41">
        <f t="shared" ref="BO159:BQ163" si="98">T159/M159</f>
        <v>0</v>
      </c>
      <c r="BP159" s="42">
        <f t="shared" si="98"/>
        <v>0</v>
      </c>
      <c r="BQ159" s="42">
        <f t="shared" si="98"/>
        <v>0</v>
      </c>
      <c r="BR159" s="183"/>
      <c r="BS159" s="183"/>
      <c r="BT159" s="48"/>
      <c r="BU159" s="48"/>
    </row>
    <row r="160" spans="1:73" s="11" customFormat="1" x14ac:dyDescent="0.25">
      <c r="A160" s="10"/>
      <c r="B160" s="33" t="s">
        <v>269</v>
      </c>
      <c r="C160" s="34">
        <v>0</v>
      </c>
      <c r="D160" s="35">
        <v>0</v>
      </c>
      <c r="E160" s="35">
        <v>0</v>
      </c>
      <c r="F160" s="93"/>
      <c r="G160" s="36">
        <v>0</v>
      </c>
      <c r="H160" s="34">
        <v>40</v>
      </c>
      <c r="I160" s="35">
        <v>38</v>
      </c>
      <c r="J160" s="35">
        <v>38</v>
      </c>
      <c r="K160" s="93"/>
      <c r="L160" s="36">
        <v>36</v>
      </c>
      <c r="M160" s="34">
        <v>12</v>
      </c>
      <c r="N160" s="35">
        <v>17</v>
      </c>
      <c r="O160" s="35">
        <v>15</v>
      </c>
      <c r="P160" s="93"/>
      <c r="Q160" s="36">
        <v>13</v>
      </c>
      <c r="R160" s="34">
        <v>0</v>
      </c>
      <c r="S160" s="35">
        <v>0</v>
      </c>
      <c r="T160" s="35">
        <v>0</v>
      </c>
      <c r="U160" s="35">
        <v>0</v>
      </c>
      <c r="V160" s="35">
        <v>0</v>
      </c>
      <c r="W160" s="93"/>
      <c r="X160" s="36">
        <v>0</v>
      </c>
      <c r="Y160" s="34" t="s">
        <v>91</v>
      </c>
      <c r="Z160" s="35" t="s">
        <v>91</v>
      </c>
      <c r="AA160" s="35" t="s">
        <v>127</v>
      </c>
      <c r="AB160" s="93" t="s">
        <v>127</v>
      </c>
      <c r="AC160" s="35" t="s">
        <v>127</v>
      </c>
      <c r="AD160" s="154"/>
      <c r="AE160" s="90" t="s">
        <v>403</v>
      </c>
      <c r="AF160" s="38">
        <v>5658</v>
      </c>
      <c r="AG160" s="39">
        <v>6119</v>
      </c>
      <c r="AH160" s="39">
        <v>6496</v>
      </c>
      <c r="AI160" s="39">
        <v>7833</v>
      </c>
      <c r="AJ160" s="39">
        <v>5797</v>
      </c>
      <c r="AK160" s="182"/>
      <c r="AL160" s="40">
        <v>8483.4699999999993</v>
      </c>
      <c r="AM160" s="38">
        <v>61.6</v>
      </c>
      <c r="AN160" s="39">
        <v>51.21</v>
      </c>
      <c r="AO160" s="39">
        <v>156.47999999999999</v>
      </c>
      <c r="AP160" s="39">
        <v>1389.82</v>
      </c>
      <c r="AQ160" s="39">
        <v>461.38</v>
      </c>
      <c r="AR160" s="182"/>
      <c r="AS160" s="40">
        <v>725.87</v>
      </c>
      <c r="AT160" s="41">
        <f t="shared" si="69"/>
        <v>1.0887239307175681E-2</v>
      </c>
      <c r="AU160" s="42">
        <f t="shared" si="70"/>
        <v>8.3690145448602708E-3</v>
      </c>
      <c r="AV160" s="42">
        <f t="shared" si="71"/>
        <v>2.4088669950738915E-2</v>
      </c>
      <c r="AW160" s="42">
        <f t="shared" si="72"/>
        <v>0.17743138005872588</v>
      </c>
      <c r="AX160" s="42">
        <f t="shared" si="73"/>
        <v>7.9589442815249267E-2</v>
      </c>
      <c r="AY160" s="183"/>
      <c r="AZ160" s="43">
        <f t="shared" si="84"/>
        <v>8.5562865195491944E-2</v>
      </c>
      <c r="BA160" s="41" t="s">
        <v>226</v>
      </c>
      <c r="BB160" s="44">
        <f>(AU160-$AT160)*100</f>
        <v>-0.25182247623154097</v>
      </c>
      <c r="BC160" s="44">
        <f>(AV160-$AT160)*100</f>
        <v>1.3201430643563234</v>
      </c>
      <c r="BD160" s="44">
        <f t="shared" ref="BD160:BD244" si="99">(AW160-$AT160)*100</f>
        <v>16.654414075155021</v>
      </c>
      <c r="BE160" s="44">
        <f t="shared" ref="BE160:BE244" si="100">(AX160-$AT160)*100</f>
        <v>6.8702203508073589</v>
      </c>
      <c r="BF160" s="184"/>
      <c r="BG160" s="45">
        <f t="shared" si="85"/>
        <v>7.4675625888316262</v>
      </c>
      <c r="BH160" s="34" t="s">
        <v>226</v>
      </c>
      <c r="BI160" s="46">
        <f t="shared" si="94"/>
        <v>-0.25182247623154097</v>
      </c>
      <c r="BJ160" s="46">
        <f t="shared" si="95"/>
        <v>1.5719655405878643</v>
      </c>
      <c r="BK160" s="46">
        <f t="shared" si="96"/>
        <v>15.334271010798698</v>
      </c>
      <c r="BL160" s="46">
        <f t="shared" si="97"/>
        <v>-9.7841937243476611</v>
      </c>
      <c r="BM160" s="185"/>
      <c r="BN160" s="47"/>
      <c r="BO160" s="41">
        <f t="shared" si="98"/>
        <v>0</v>
      </c>
      <c r="BP160" s="42">
        <f t="shared" si="98"/>
        <v>0</v>
      </c>
      <c r="BQ160" s="42">
        <f t="shared" si="98"/>
        <v>0</v>
      </c>
      <c r="BR160" s="183"/>
      <c r="BS160" s="183">
        <f>X160/Q160</f>
        <v>0</v>
      </c>
      <c r="BT160" s="48"/>
      <c r="BU160" s="48"/>
    </row>
    <row r="161" spans="1:73" s="11" customFormat="1" x14ac:dyDescent="0.25">
      <c r="A161" s="10"/>
      <c r="B161" s="33" t="s">
        <v>270</v>
      </c>
      <c r="C161" s="34">
        <v>2</v>
      </c>
      <c r="D161" s="35">
        <v>2</v>
      </c>
      <c r="E161" s="35">
        <v>2</v>
      </c>
      <c r="F161" s="93"/>
      <c r="G161" s="36"/>
      <c r="H161" s="34">
        <v>35</v>
      </c>
      <c r="I161" s="35">
        <v>35</v>
      </c>
      <c r="J161" s="35">
        <v>35</v>
      </c>
      <c r="K161" s="93"/>
      <c r="L161" s="36"/>
      <c r="M161" s="34">
        <v>25</v>
      </c>
      <c r="N161" s="35">
        <v>19</v>
      </c>
      <c r="O161" s="35">
        <v>16</v>
      </c>
      <c r="P161" s="93"/>
      <c r="Q161" s="36"/>
      <c r="R161" s="34"/>
      <c r="S161" s="35"/>
      <c r="T161" s="35"/>
      <c r="U161" s="35"/>
      <c r="V161" s="35"/>
      <c r="W161" s="93"/>
      <c r="X161" s="36"/>
      <c r="Y161" s="34"/>
      <c r="Z161" s="35"/>
      <c r="AA161" s="35"/>
      <c r="AB161" s="93"/>
      <c r="AC161" s="35"/>
      <c r="AD161" s="154"/>
      <c r="AE161" s="90"/>
      <c r="AF161" s="38">
        <v>1662</v>
      </c>
      <c r="AG161" s="39">
        <v>1836</v>
      </c>
      <c r="AH161" s="39">
        <v>2231</v>
      </c>
      <c r="AI161" s="39">
        <v>4221</v>
      </c>
      <c r="AJ161" s="39">
        <v>3061</v>
      </c>
      <c r="AK161" s="182"/>
      <c r="AL161" s="40"/>
      <c r="AM161" s="38"/>
      <c r="AN161" s="39"/>
      <c r="AO161" s="39"/>
      <c r="AP161" s="39">
        <v>272</v>
      </c>
      <c r="AQ161" s="39">
        <v>861</v>
      </c>
      <c r="AR161" s="182"/>
      <c r="AS161" s="40"/>
      <c r="AT161" s="41">
        <f t="shared" si="69"/>
        <v>0</v>
      </c>
      <c r="AU161" s="42">
        <f t="shared" si="70"/>
        <v>0</v>
      </c>
      <c r="AV161" s="42">
        <f t="shared" si="71"/>
        <v>0</v>
      </c>
      <c r="AW161" s="42">
        <f t="shared" si="72"/>
        <v>6.4439706230751001E-2</v>
      </c>
      <c r="AX161" s="42">
        <f t="shared" si="73"/>
        <v>0.28128062724599806</v>
      </c>
      <c r="AY161" s="183"/>
      <c r="AZ161" s="43"/>
      <c r="BA161" s="41" t="s">
        <v>226</v>
      </c>
      <c r="BB161" s="44"/>
      <c r="BC161" s="44"/>
      <c r="BD161" s="44">
        <f t="shared" si="99"/>
        <v>6.4439706230751002</v>
      </c>
      <c r="BE161" s="44">
        <f t="shared" si="100"/>
        <v>28.128062724599808</v>
      </c>
      <c r="BF161" s="184"/>
      <c r="BG161" s="45"/>
      <c r="BH161" s="34" t="s">
        <v>226</v>
      </c>
      <c r="BI161" s="46"/>
      <c r="BJ161" s="46"/>
      <c r="BK161" s="46">
        <f t="shared" si="96"/>
        <v>6.4439706230751002</v>
      </c>
      <c r="BL161" s="46">
        <f t="shared" si="97"/>
        <v>21.684092101524705</v>
      </c>
      <c r="BM161" s="185"/>
      <c r="BN161" s="47"/>
      <c r="BO161" s="41">
        <f t="shared" si="98"/>
        <v>0</v>
      </c>
      <c r="BP161" s="42">
        <f t="shared" si="98"/>
        <v>0</v>
      </c>
      <c r="BQ161" s="42">
        <f t="shared" si="98"/>
        <v>0</v>
      </c>
      <c r="BR161" s="183"/>
      <c r="BS161" s="183"/>
      <c r="BT161" s="48"/>
      <c r="BU161" s="48"/>
    </row>
    <row r="162" spans="1:73" s="14" customFormat="1" x14ac:dyDescent="0.25">
      <c r="A162" s="13"/>
      <c r="B162" s="59" t="s">
        <v>271</v>
      </c>
      <c r="C162" s="60">
        <v>5</v>
      </c>
      <c r="D162" s="61">
        <v>5</v>
      </c>
      <c r="E162" s="61">
        <v>5</v>
      </c>
      <c r="F162" s="145"/>
      <c r="G162" s="62">
        <v>3</v>
      </c>
      <c r="H162" s="60">
        <v>160</v>
      </c>
      <c r="I162" s="61">
        <v>158</v>
      </c>
      <c r="J162" s="61">
        <v>159</v>
      </c>
      <c r="K162" s="145"/>
      <c r="L162" s="62">
        <v>147</v>
      </c>
      <c r="M162" s="60">
        <v>32</v>
      </c>
      <c r="N162" s="61">
        <v>31</v>
      </c>
      <c r="O162" s="61">
        <v>30</v>
      </c>
      <c r="P162" s="145"/>
      <c r="Q162" s="62">
        <v>54</v>
      </c>
      <c r="R162" s="60">
        <v>0</v>
      </c>
      <c r="S162" s="61">
        <v>0</v>
      </c>
      <c r="T162" s="61">
        <v>0</v>
      </c>
      <c r="U162" s="61">
        <v>0</v>
      </c>
      <c r="V162" s="61">
        <v>0</v>
      </c>
      <c r="W162" s="145"/>
      <c r="X162" s="62">
        <v>6</v>
      </c>
      <c r="Y162" s="60" t="s">
        <v>92</v>
      </c>
      <c r="Z162" s="61" t="s">
        <v>92</v>
      </c>
      <c r="AA162" s="61" t="s">
        <v>89</v>
      </c>
      <c r="AB162" s="145" t="s">
        <v>89</v>
      </c>
      <c r="AC162" s="61" t="s">
        <v>93</v>
      </c>
      <c r="AD162" s="152"/>
      <c r="AE162" s="64" t="s">
        <v>171</v>
      </c>
      <c r="AF162" s="270">
        <v>8254</v>
      </c>
      <c r="AG162" s="65">
        <v>12126</v>
      </c>
      <c r="AH162" s="65">
        <v>11491</v>
      </c>
      <c r="AI162" s="65">
        <v>13442</v>
      </c>
      <c r="AJ162" s="65">
        <v>12410</v>
      </c>
      <c r="AK162" s="196"/>
      <c r="AL162" s="66">
        <v>15779.47</v>
      </c>
      <c r="AM162" s="270">
        <v>1936</v>
      </c>
      <c r="AN162" s="65">
        <v>1913</v>
      </c>
      <c r="AO162" s="65">
        <v>409</v>
      </c>
      <c r="AP162" s="65">
        <v>450</v>
      </c>
      <c r="AQ162" s="65">
        <v>827</v>
      </c>
      <c r="AR162" s="196"/>
      <c r="AS162" s="66">
        <v>1634.38</v>
      </c>
      <c r="AT162" s="276">
        <f t="shared" si="69"/>
        <v>0.23455294402713836</v>
      </c>
      <c r="AU162" s="67">
        <f t="shared" si="70"/>
        <v>0.15776018472703282</v>
      </c>
      <c r="AV162" s="67">
        <f t="shared" si="71"/>
        <v>3.5593072839613611E-2</v>
      </c>
      <c r="AW162" s="67">
        <f t="shared" si="72"/>
        <v>3.3477161136735607E-2</v>
      </c>
      <c r="AX162" s="67">
        <f t="shared" si="73"/>
        <v>6.6639806607574542E-2</v>
      </c>
      <c r="AY162" s="190"/>
      <c r="AZ162" s="68">
        <f t="shared" si="84"/>
        <v>0.10357635585986096</v>
      </c>
      <c r="BA162" s="276" t="s">
        <v>226</v>
      </c>
      <c r="BB162" s="69">
        <f>(AU162-$AT162)*100</f>
        <v>-7.6792759300105544</v>
      </c>
      <c r="BC162" s="69">
        <f>(AV162-$AT162)*100</f>
        <v>-19.895987118752476</v>
      </c>
      <c r="BD162" s="69">
        <f t="shared" si="99"/>
        <v>-20.107578289040276</v>
      </c>
      <c r="BE162" s="69">
        <f t="shared" si="100"/>
        <v>-16.791313741956383</v>
      </c>
      <c r="BF162" s="199"/>
      <c r="BG162" s="70">
        <f t="shared" si="85"/>
        <v>-13.097658816727742</v>
      </c>
      <c r="BH162" s="60" t="s">
        <v>226</v>
      </c>
      <c r="BI162" s="71">
        <f t="shared" si="94"/>
        <v>-7.6792759300105544</v>
      </c>
      <c r="BJ162" s="71">
        <f t="shared" si="95"/>
        <v>-12.216711188741922</v>
      </c>
      <c r="BK162" s="71">
        <f t="shared" si="96"/>
        <v>-0.21159117028780039</v>
      </c>
      <c r="BL162" s="71">
        <f t="shared" si="97"/>
        <v>3.3162645470838936</v>
      </c>
      <c r="BM162" s="200"/>
      <c r="BN162" s="72"/>
      <c r="BO162" s="276">
        <f t="shared" si="98"/>
        <v>0</v>
      </c>
      <c r="BP162" s="67">
        <f t="shared" si="98"/>
        <v>0</v>
      </c>
      <c r="BQ162" s="67">
        <f t="shared" si="98"/>
        <v>0</v>
      </c>
      <c r="BR162" s="190"/>
      <c r="BS162" s="190">
        <f>X162/Q162</f>
        <v>0.1111111111111111</v>
      </c>
      <c r="BT162" s="73"/>
      <c r="BU162" s="73"/>
    </row>
    <row r="163" spans="1:73" s="14" customFormat="1" x14ac:dyDescent="0.25">
      <c r="A163" s="13"/>
      <c r="B163" s="59" t="s">
        <v>272</v>
      </c>
      <c r="C163" s="60">
        <v>4</v>
      </c>
      <c r="D163" s="61">
        <v>4</v>
      </c>
      <c r="E163" s="61">
        <v>0</v>
      </c>
      <c r="F163" s="145"/>
      <c r="G163" s="62">
        <v>0</v>
      </c>
      <c r="H163" s="60">
        <v>122</v>
      </c>
      <c r="I163" s="61">
        <v>122</v>
      </c>
      <c r="J163" s="61">
        <v>0</v>
      </c>
      <c r="K163" s="145"/>
      <c r="L163" s="62">
        <v>147</v>
      </c>
      <c r="M163" s="60">
        <v>24</v>
      </c>
      <c r="N163" s="61">
        <v>33</v>
      </c>
      <c r="O163" s="61">
        <v>12</v>
      </c>
      <c r="P163" s="145"/>
      <c r="Q163" s="62">
        <v>67</v>
      </c>
      <c r="R163" s="60">
        <v>1</v>
      </c>
      <c r="S163" s="61">
        <v>1</v>
      </c>
      <c r="T163" s="61">
        <v>3</v>
      </c>
      <c r="U163" s="61">
        <v>3</v>
      </c>
      <c r="V163" s="61">
        <v>3</v>
      </c>
      <c r="W163" s="145"/>
      <c r="X163" s="62">
        <v>1</v>
      </c>
      <c r="Y163" s="60" t="s">
        <v>91</v>
      </c>
      <c r="Z163" s="61" t="s">
        <v>94</v>
      </c>
      <c r="AA163" s="61" t="s">
        <v>95</v>
      </c>
      <c r="AB163" s="145" t="s">
        <v>95</v>
      </c>
      <c r="AC163" s="61" t="s">
        <v>95</v>
      </c>
      <c r="AD163" s="152"/>
      <c r="AE163" s="64">
        <v>27.97</v>
      </c>
      <c r="AF163" s="270">
        <v>16453</v>
      </c>
      <c r="AG163" s="65">
        <v>17990</v>
      </c>
      <c r="AH163" s="65">
        <v>27444</v>
      </c>
      <c r="AI163" s="65">
        <v>27389</v>
      </c>
      <c r="AJ163" s="65"/>
      <c r="AK163" s="196"/>
      <c r="AL163" s="66">
        <v>29133.62</v>
      </c>
      <c r="AM163" s="270">
        <v>941</v>
      </c>
      <c r="AN163" s="65">
        <v>2060</v>
      </c>
      <c r="AO163" s="65">
        <v>1916</v>
      </c>
      <c r="AP163" s="65">
        <v>4117</v>
      </c>
      <c r="AQ163" s="65"/>
      <c r="AR163" s="196"/>
      <c r="AS163" s="66">
        <v>11833.28</v>
      </c>
      <c r="AT163" s="276">
        <f t="shared" si="69"/>
        <v>5.7193217042484652E-2</v>
      </c>
      <c r="AU163" s="67">
        <f t="shared" si="70"/>
        <v>0.11450806003335186</v>
      </c>
      <c r="AV163" s="67">
        <f t="shared" si="71"/>
        <v>6.9814895787786033E-2</v>
      </c>
      <c r="AW163" s="67">
        <f t="shared" si="72"/>
        <v>0.15031582021979628</v>
      </c>
      <c r="AX163" s="67"/>
      <c r="AY163" s="190"/>
      <c r="AZ163" s="68">
        <f t="shared" si="84"/>
        <v>0.40617266237426042</v>
      </c>
      <c r="BA163" s="276" t="s">
        <v>226</v>
      </c>
      <c r="BB163" s="69">
        <f>(AU163-$AT163)*100</f>
        <v>5.7314842990867207</v>
      </c>
      <c r="BC163" s="69">
        <f>(AV163-$AT163)*100</f>
        <v>1.2621678745301381</v>
      </c>
      <c r="BD163" s="69">
        <f t="shared" si="99"/>
        <v>9.3122603177311642</v>
      </c>
      <c r="BE163" s="69">
        <f t="shared" si="100"/>
        <v>-5.7193217042484656</v>
      </c>
      <c r="BF163" s="199"/>
      <c r="BG163" s="70">
        <f t="shared" si="85"/>
        <v>34.897944533177579</v>
      </c>
      <c r="BH163" s="60" t="s">
        <v>226</v>
      </c>
      <c r="BI163" s="71">
        <f t="shared" si="94"/>
        <v>5.7314842990867207</v>
      </c>
      <c r="BJ163" s="71">
        <f t="shared" si="95"/>
        <v>-4.4693164245565828</v>
      </c>
      <c r="BK163" s="71">
        <f t="shared" si="96"/>
        <v>8.0500924432010255</v>
      </c>
      <c r="BL163" s="71">
        <f t="shared" si="97"/>
        <v>-15.031582021979627</v>
      </c>
      <c r="BM163" s="200"/>
      <c r="BN163" s="72"/>
      <c r="BO163" s="276">
        <f t="shared" si="98"/>
        <v>0.125</v>
      </c>
      <c r="BP163" s="67">
        <f t="shared" si="98"/>
        <v>9.0909090909090912E-2</v>
      </c>
      <c r="BQ163" s="67">
        <f t="shared" si="98"/>
        <v>0.25</v>
      </c>
      <c r="BR163" s="190"/>
      <c r="BS163" s="190">
        <f>X163/Q163</f>
        <v>1.4925373134328358E-2</v>
      </c>
      <c r="BT163" s="73"/>
      <c r="BU163" s="73"/>
    </row>
    <row r="164" spans="1:73" s="11" customFormat="1" x14ac:dyDescent="0.25">
      <c r="A164" s="10"/>
      <c r="B164" s="33" t="s">
        <v>96</v>
      </c>
      <c r="C164" s="34">
        <v>1</v>
      </c>
      <c r="D164" s="35">
        <v>1</v>
      </c>
      <c r="E164" s="35">
        <v>1</v>
      </c>
      <c r="F164" s="93"/>
      <c r="G164" s="36"/>
      <c r="H164" s="34">
        <v>39</v>
      </c>
      <c r="I164" s="35">
        <v>39</v>
      </c>
      <c r="J164" s="35">
        <v>36</v>
      </c>
      <c r="K164" s="93"/>
      <c r="L164" s="36"/>
      <c r="M164" s="34">
        <v>0</v>
      </c>
      <c r="N164" s="35">
        <v>0</v>
      </c>
      <c r="O164" s="35">
        <v>1</v>
      </c>
      <c r="P164" s="93"/>
      <c r="Q164" s="36"/>
      <c r="R164" s="34"/>
      <c r="S164" s="35"/>
      <c r="T164" s="35"/>
      <c r="U164" s="35"/>
      <c r="V164" s="35"/>
      <c r="W164" s="93"/>
      <c r="X164" s="36"/>
      <c r="Y164" s="34" t="s">
        <v>97</v>
      </c>
      <c r="Z164" s="35"/>
      <c r="AA164" s="35"/>
      <c r="AB164" s="93"/>
      <c r="AC164" s="35" t="s">
        <v>98</v>
      </c>
      <c r="AD164" s="154"/>
      <c r="AE164" s="90"/>
      <c r="AF164" s="38">
        <v>5225</v>
      </c>
      <c r="AG164" s="39">
        <v>5225</v>
      </c>
      <c r="AH164" s="39">
        <v>5225</v>
      </c>
      <c r="AI164" s="39">
        <v>5887</v>
      </c>
      <c r="AJ164" s="39">
        <v>5887</v>
      </c>
      <c r="AK164" s="182"/>
      <c r="AL164" s="40"/>
      <c r="AM164" s="38"/>
      <c r="AN164" s="39"/>
      <c r="AO164" s="39"/>
      <c r="AP164" s="39"/>
      <c r="AQ164" s="39">
        <v>251</v>
      </c>
      <c r="AR164" s="182"/>
      <c r="AS164" s="40"/>
      <c r="AT164" s="41">
        <f t="shared" si="69"/>
        <v>0</v>
      </c>
      <c r="AU164" s="42">
        <f t="shared" si="70"/>
        <v>0</v>
      </c>
      <c r="AV164" s="42">
        <f t="shared" si="71"/>
        <v>0</v>
      </c>
      <c r="AW164" s="42">
        <f t="shared" si="72"/>
        <v>0</v>
      </c>
      <c r="AX164" s="42">
        <f t="shared" si="73"/>
        <v>4.2636317309325635E-2</v>
      </c>
      <c r="AY164" s="183"/>
      <c r="AZ164" s="43"/>
      <c r="BA164" s="41" t="s">
        <v>226</v>
      </c>
      <c r="BB164" s="44"/>
      <c r="BC164" s="44"/>
      <c r="BD164" s="44"/>
      <c r="BE164" s="44">
        <f t="shared" si="100"/>
        <v>4.2636317309325635</v>
      </c>
      <c r="BF164" s="184"/>
      <c r="BG164" s="45"/>
      <c r="BH164" s="34" t="s">
        <v>226</v>
      </c>
      <c r="BI164" s="46"/>
      <c r="BJ164" s="46"/>
      <c r="BK164" s="46"/>
      <c r="BL164" s="46">
        <f t="shared" si="97"/>
        <v>4.2636317309325635</v>
      </c>
      <c r="BM164" s="185"/>
      <c r="BN164" s="47"/>
      <c r="BO164" s="41"/>
      <c r="BP164" s="42"/>
      <c r="BQ164" s="42">
        <f>V164/O164</f>
        <v>0</v>
      </c>
      <c r="BR164" s="183"/>
      <c r="BS164" s="183"/>
      <c r="BT164" s="48"/>
      <c r="BU164" s="48"/>
    </row>
    <row r="165" spans="1:73" s="11" customFormat="1" x14ac:dyDescent="0.25">
      <c r="A165" s="10"/>
      <c r="B165" s="33" t="s">
        <v>273</v>
      </c>
      <c r="C165" s="34">
        <v>1</v>
      </c>
      <c r="D165" s="35">
        <v>1</v>
      </c>
      <c r="E165" s="35">
        <v>1</v>
      </c>
      <c r="F165" s="93"/>
      <c r="G165" s="36"/>
      <c r="H165" s="34">
        <v>26</v>
      </c>
      <c r="I165" s="35">
        <v>25</v>
      </c>
      <c r="J165" s="35">
        <v>23</v>
      </c>
      <c r="K165" s="93"/>
      <c r="L165" s="36"/>
      <c r="M165" s="34">
        <v>7</v>
      </c>
      <c r="N165" s="35">
        <v>8</v>
      </c>
      <c r="O165" s="35">
        <v>12</v>
      </c>
      <c r="P165" s="93"/>
      <c r="Q165" s="36"/>
      <c r="R165" s="34"/>
      <c r="S165" s="35"/>
      <c r="T165" s="35"/>
      <c r="U165" s="35"/>
      <c r="V165" s="35"/>
      <c r="W165" s="93"/>
      <c r="X165" s="36"/>
      <c r="Y165" s="34"/>
      <c r="Z165" s="35" t="s">
        <v>87</v>
      </c>
      <c r="AA165" s="35" t="s">
        <v>87</v>
      </c>
      <c r="AB165" s="93" t="s">
        <v>87</v>
      </c>
      <c r="AC165" s="35" t="s">
        <v>149</v>
      </c>
      <c r="AD165" s="154"/>
      <c r="AE165" s="90"/>
      <c r="AF165" s="38">
        <v>1424</v>
      </c>
      <c r="AG165" s="39">
        <v>1679</v>
      </c>
      <c r="AH165" s="39">
        <v>1936</v>
      </c>
      <c r="AI165" s="39">
        <v>2191</v>
      </c>
      <c r="AJ165" s="39">
        <v>2411</v>
      </c>
      <c r="AK165" s="182"/>
      <c r="AL165" s="40"/>
      <c r="AM165" s="38">
        <v>115</v>
      </c>
      <c r="AN165" s="39">
        <v>145</v>
      </c>
      <c r="AO165" s="39">
        <v>271</v>
      </c>
      <c r="AP165" s="39">
        <v>737</v>
      </c>
      <c r="AQ165" s="39">
        <v>1203</v>
      </c>
      <c r="AR165" s="182"/>
      <c r="AS165" s="40"/>
      <c r="AT165" s="41">
        <f t="shared" si="69"/>
        <v>8.0758426966292138E-2</v>
      </c>
      <c r="AU165" s="42">
        <f t="shared" si="70"/>
        <v>8.6360929124478861E-2</v>
      </c>
      <c r="AV165" s="42">
        <f t="shared" si="71"/>
        <v>0.1399793388429752</v>
      </c>
      <c r="AW165" s="42">
        <f t="shared" si="72"/>
        <v>0.33637608397991786</v>
      </c>
      <c r="AX165" s="42">
        <f t="shared" si="73"/>
        <v>0.49896308585649107</v>
      </c>
      <c r="AY165" s="183"/>
      <c r="AZ165" s="43"/>
      <c r="BA165" s="41" t="s">
        <v>226</v>
      </c>
      <c r="BB165" s="44">
        <f>(AU165-$AT165)*100</f>
        <v>0.56025021581867229</v>
      </c>
      <c r="BC165" s="44">
        <f>(AV165-$AT165)*100</f>
        <v>5.9220911876683058</v>
      </c>
      <c r="BD165" s="44">
        <f t="shared" si="99"/>
        <v>25.561765701362571</v>
      </c>
      <c r="BE165" s="44">
        <f t="shared" si="100"/>
        <v>41.820465889019893</v>
      </c>
      <c r="BF165" s="184"/>
      <c r="BG165" s="45"/>
      <c r="BH165" s="34" t="s">
        <v>226</v>
      </c>
      <c r="BI165" s="46">
        <f t="shared" si="94"/>
        <v>0.56025021581867229</v>
      </c>
      <c r="BJ165" s="46">
        <f t="shared" si="95"/>
        <v>5.3618409718496336</v>
      </c>
      <c r="BK165" s="46">
        <f t="shared" si="96"/>
        <v>19.639674513694267</v>
      </c>
      <c r="BL165" s="46">
        <f t="shared" si="97"/>
        <v>16.258700187657322</v>
      </c>
      <c r="BM165" s="185"/>
      <c r="BN165" s="47"/>
      <c r="BO165" s="41">
        <f>T165/M165</f>
        <v>0</v>
      </c>
      <c r="BP165" s="42">
        <f>U165/N165</f>
        <v>0</v>
      </c>
      <c r="BQ165" s="42">
        <f>V165/O165</f>
        <v>0</v>
      </c>
      <c r="BR165" s="183"/>
      <c r="BS165" s="183"/>
      <c r="BT165" s="48"/>
      <c r="BU165" s="48"/>
    </row>
    <row r="166" spans="1:73" s="9" customFormat="1" x14ac:dyDescent="0.25">
      <c r="A166" s="12"/>
      <c r="B166" s="17" t="s">
        <v>274</v>
      </c>
      <c r="C166" s="2">
        <v>12</v>
      </c>
      <c r="D166" s="3">
        <v>12</v>
      </c>
      <c r="E166" s="3">
        <v>12</v>
      </c>
      <c r="F166" s="144">
        <v>0</v>
      </c>
      <c r="G166" s="4">
        <v>0</v>
      </c>
      <c r="H166" s="2">
        <v>639</v>
      </c>
      <c r="I166" s="3">
        <v>631</v>
      </c>
      <c r="J166" s="3">
        <v>628</v>
      </c>
      <c r="K166" s="144">
        <v>691</v>
      </c>
      <c r="L166" s="4">
        <v>707</v>
      </c>
      <c r="M166" s="2">
        <v>115</v>
      </c>
      <c r="N166" s="3">
        <v>117</v>
      </c>
      <c r="O166" s="3">
        <v>126</v>
      </c>
      <c r="P166" s="144">
        <v>279</v>
      </c>
      <c r="Q166" s="4">
        <v>198</v>
      </c>
      <c r="R166" s="2">
        <v>4</v>
      </c>
      <c r="S166" s="3">
        <v>1</v>
      </c>
      <c r="T166" s="3">
        <v>0</v>
      </c>
      <c r="U166" s="3">
        <v>4</v>
      </c>
      <c r="V166" s="3">
        <v>1</v>
      </c>
      <c r="W166" s="144">
        <v>5</v>
      </c>
      <c r="X166" s="4">
        <v>4</v>
      </c>
      <c r="Y166" s="2">
        <v>14.58</v>
      </c>
      <c r="Z166" s="3">
        <v>17.22</v>
      </c>
      <c r="AA166" s="3">
        <v>23.99</v>
      </c>
      <c r="AB166" s="144">
        <v>23.99</v>
      </c>
      <c r="AC166" s="3">
        <v>23.99</v>
      </c>
      <c r="AD166" s="153">
        <v>30.77</v>
      </c>
      <c r="AE166" s="86">
        <v>32.64</v>
      </c>
      <c r="AF166" s="19">
        <v>58571</v>
      </c>
      <c r="AG166" s="20">
        <v>61358</v>
      </c>
      <c r="AH166" s="20">
        <v>66491</v>
      </c>
      <c r="AI166" s="20">
        <v>106989</v>
      </c>
      <c r="AJ166" s="20">
        <v>102150</v>
      </c>
      <c r="AK166" s="210">
        <v>95617.79</v>
      </c>
      <c r="AL166" s="21">
        <v>89283.839999999997</v>
      </c>
      <c r="AM166" s="19">
        <v>7848</v>
      </c>
      <c r="AN166" s="20">
        <v>7162</v>
      </c>
      <c r="AO166" s="20">
        <v>8537</v>
      </c>
      <c r="AP166" s="20">
        <v>13674</v>
      </c>
      <c r="AQ166" s="20">
        <v>15430</v>
      </c>
      <c r="AR166" s="210">
        <v>17587.75</v>
      </c>
      <c r="AS166" s="21">
        <v>12504.03</v>
      </c>
      <c r="AT166" s="50">
        <f t="shared" si="69"/>
        <v>0.13399122432603167</v>
      </c>
      <c r="AU166" s="51">
        <f t="shared" si="70"/>
        <v>0.11672479546269435</v>
      </c>
      <c r="AV166" s="51">
        <f t="shared" si="71"/>
        <v>0.12839331638868418</v>
      </c>
      <c r="AW166" s="51">
        <f t="shared" si="72"/>
        <v>0.12780753161539971</v>
      </c>
      <c r="AX166" s="51">
        <f t="shared" si="73"/>
        <v>0.15105237395986296</v>
      </c>
      <c r="AY166" s="211">
        <f t="shared" si="83"/>
        <v>0.18393805169519187</v>
      </c>
      <c r="AZ166" s="52">
        <f t="shared" si="84"/>
        <v>0.14004807588920909</v>
      </c>
      <c r="BA166" s="50" t="s">
        <v>226</v>
      </c>
      <c r="BB166" s="53">
        <f>(AU166-$AT166)*100</f>
        <v>-1.7266428863337318</v>
      </c>
      <c r="BC166" s="53">
        <f>(AV166-$AT166)*100</f>
        <v>-0.55979079373474905</v>
      </c>
      <c r="BD166" s="53">
        <f t="shared" si="99"/>
        <v>-0.61836927106319606</v>
      </c>
      <c r="BE166" s="53">
        <f t="shared" si="100"/>
        <v>1.7061149633831292</v>
      </c>
      <c r="BF166" s="212">
        <f t="shared" si="88"/>
        <v>4.9946827369160198</v>
      </c>
      <c r="BG166" s="54">
        <f t="shared" si="85"/>
        <v>0.60568515631774233</v>
      </c>
      <c r="BH166" s="2" t="s">
        <v>226</v>
      </c>
      <c r="BI166" s="55">
        <f t="shared" si="94"/>
        <v>-1.7266428863337318</v>
      </c>
      <c r="BJ166" s="55">
        <f t="shared" si="95"/>
        <v>1.1668520925989827</v>
      </c>
      <c r="BK166" s="55">
        <f t="shared" si="96"/>
        <v>-5.8578477328447009E-2</v>
      </c>
      <c r="BL166" s="55">
        <f t="shared" si="97"/>
        <v>2.324484234446325</v>
      </c>
      <c r="BM166" s="56">
        <f t="shared" si="86"/>
        <v>3.2885677735328911</v>
      </c>
      <c r="BN166" s="56">
        <f t="shared" si="86"/>
        <v>-4.3889975805982777</v>
      </c>
      <c r="BO166" s="50">
        <f>T166/M166</f>
        <v>0</v>
      </c>
      <c r="BP166" s="51">
        <f>U166/N166</f>
        <v>3.4188034188034191E-2</v>
      </c>
      <c r="BQ166" s="51">
        <f>V166/O166</f>
        <v>7.9365079365079361E-3</v>
      </c>
      <c r="BR166" s="211">
        <f>W166/P166</f>
        <v>1.7921146953405017E-2</v>
      </c>
      <c r="BS166" s="211">
        <f>X166/Q166</f>
        <v>2.0202020202020204E-2</v>
      </c>
      <c r="BT166" s="57">
        <f t="shared" si="87"/>
        <v>6.0773480662983458E-2</v>
      </c>
      <c r="BU166" s="57">
        <f>(Q166-P166)/P166</f>
        <v>-0.29032258064516131</v>
      </c>
    </row>
    <row r="167" spans="1:73" s="14" customFormat="1" x14ac:dyDescent="0.25">
      <c r="A167" s="13"/>
      <c r="B167" s="59" t="s">
        <v>275</v>
      </c>
      <c r="C167" s="60"/>
      <c r="D167" s="61"/>
      <c r="E167" s="61"/>
      <c r="F167" s="145">
        <v>21</v>
      </c>
      <c r="G167" s="62">
        <v>21</v>
      </c>
      <c r="H167" s="60"/>
      <c r="I167" s="61"/>
      <c r="J167" s="61"/>
      <c r="K167" s="145">
        <v>311</v>
      </c>
      <c r="L167" s="62">
        <v>311</v>
      </c>
      <c r="M167" s="60"/>
      <c r="N167" s="61"/>
      <c r="O167" s="61"/>
      <c r="P167" s="145">
        <v>35</v>
      </c>
      <c r="Q167" s="62">
        <v>28</v>
      </c>
      <c r="R167" s="60"/>
      <c r="S167" s="61"/>
      <c r="T167" s="61"/>
      <c r="U167" s="61"/>
      <c r="V167" s="61"/>
      <c r="W167" s="145">
        <v>6</v>
      </c>
      <c r="X167" s="62">
        <v>5</v>
      </c>
      <c r="Y167" s="60"/>
      <c r="Z167" s="61"/>
      <c r="AA167" s="61"/>
      <c r="AB167" s="145"/>
      <c r="AC167" s="61"/>
      <c r="AD167" s="152">
        <v>22.2</v>
      </c>
      <c r="AE167" s="64">
        <v>22.23</v>
      </c>
      <c r="AF167" s="270"/>
      <c r="AG167" s="65"/>
      <c r="AH167" s="65"/>
      <c r="AI167" s="65"/>
      <c r="AJ167" s="65"/>
      <c r="AK167" s="196">
        <v>75144</v>
      </c>
      <c r="AL167" s="66">
        <v>72870</v>
      </c>
      <c r="AM167" s="270"/>
      <c r="AN167" s="65"/>
      <c r="AO167" s="65"/>
      <c r="AP167" s="65"/>
      <c r="AQ167" s="65"/>
      <c r="AR167" s="196">
        <v>3894</v>
      </c>
      <c r="AS167" s="66">
        <v>4507</v>
      </c>
      <c r="AT167" s="276"/>
      <c r="AU167" s="67"/>
      <c r="AV167" s="67"/>
      <c r="AW167" s="67"/>
      <c r="AX167" s="67"/>
      <c r="AY167" s="190">
        <f t="shared" si="83"/>
        <v>5.1820504631108273E-2</v>
      </c>
      <c r="AZ167" s="68">
        <f t="shared" si="84"/>
        <v>6.1849869630849458E-2</v>
      </c>
      <c r="BA167" s="276" t="s">
        <v>226</v>
      </c>
      <c r="BB167" s="69"/>
      <c r="BC167" s="69"/>
      <c r="BD167" s="69"/>
      <c r="BE167" s="69"/>
      <c r="BF167" s="199"/>
      <c r="BG167" s="70"/>
      <c r="BH167" s="60" t="s">
        <v>226</v>
      </c>
      <c r="BI167" s="71"/>
      <c r="BJ167" s="71"/>
      <c r="BK167" s="71"/>
      <c r="BL167" s="71"/>
      <c r="BM167" s="200"/>
      <c r="BN167" s="72">
        <f t="shared" si="86"/>
        <v>1.0029364999741184</v>
      </c>
      <c r="BO167" s="276"/>
      <c r="BP167" s="67"/>
      <c r="BQ167" s="67"/>
      <c r="BR167" s="190">
        <f>W167/P167</f>
        <v>0.17142857142857143</v>
      </c>
      <c r="BS167" s="190">
        <f>X167/Q167</f>
        <v>0.17857142857142858</v>
      </c>
      <c r="BT167" s="73">
        <f t="shared" si="87"/>
        <v>1.3513513513514026E-3</v>
      </c>
      <c r="BU167" s="73">
        <f>(Q167-P167)/P167</f>
        <v>-0.2</v>
      </c>
    </row>
    <row r="168" spans="1:73" s="11" customFormat="1" x14ac:dyDescent="0.25">
      <c r="A168" s="10">
        <v>77</v>
      </c>
      <c r="B168" s="33" t="s">
        <v>43</v>
      </c>
      <c r="C168" s="34"/>
      <c r="D168" s="35"/>
      <c r="E168" s="35"/>
      <c r="F168" s="93"/>
      <c r="G168" s="36">
        <v>0</v>
      </c>
      <c r="H168" s="34"/>
      <c r="I168" s="35"/>
      <c r="J168" s="35"/>
      <c r="K168" s="93"/>
      <c r="L168" s="36">
        <v>32</v>
      </c>
      <c r="M168" s="34"/>
      <c r="N168" s="35"/>
      <c r="O168" s="35"/>
      <c r="P168" s="93"/>
      <c r="Q168" s="36">
        <v>21</v>
      </c>
      <c r="R168" s="34"/>
      <c r="S168" s="35"/>
      <c r="T168" s="35"/>
      <c r="U168" s="35"/>
      <c r="V168" s="35"/>
      <c r="W168" s="93"/>
      <c r="X168" s="36">
        <v>0</v>
      </c>
      <c r="Y168" s="34"/>
      <c r="Z168" s="35"/>
      <c r="AA168" s="35"/>
      <c r="AB168" s="93"/>
      <c r="AC168" s="35"/>
      <c r="AD168" s="154"/>
      <c r="AE168" s="90" t="s">
        <v>393</v>
      </c>
      <c r="AF168" s="38"/>
      <c r="AG168" s="39"/>
      <c r="AH168" s="39"/>
      <c r="AI168" s="39"/>
      <c r="AJ168" s="39"/>
      <c r="AK168" s="182"/>
      <c r="AL168" s="40">
        <v>3075</v>
      </c>
      <c r="AM168" s="38"/>
      <c r="AN168" s="39"/>
      <c r="AO168" s="39"/>
      <c r="AP168" s="39"/>
      <c r="AQ168" s="39"/>
      <c r="AR168" s="182"/>
      <c r="AS168" s="40">
        <v>1677</v>
      </c>
      <c r="AT168" s="41"/>
      <c r="AU168" s="42"/>
      <c r="AV168" s="42"/>
      <c r="AW168" s="42"/>
      <c r="AX168" s="42"/>
      <c r="AY168" s="183"/>
      <c r="AZ168" s="43">
        <f t="shared" si="84"/>
        <v>0.54536585365853663</v>
      </c>
      <c r="BA168" s="41" t="s">
        <v>226</v>
      </c>
      <c r="BB168" s="44"/>
      <c r="BC168" s="44"/>
      <c r="BD168" s="44"/>
      <c r="BE168" s="44"/>
      <c r="BF168" s="184"/>
      <c r="BG168" s="45"/>
      <c r="BH168" s="34" t="s">
        <v>226</v>
      </c>
      <c r="BI168" s="46"/>
      <c r="BJ168" s="46"/>
      <c r="BK168" s="46"/>
      <c r="BL168" s="46"/>
      <c r="BM168" s="185"/>
      <c r="BN168" s="47"/>
      <c r="BO168" s="41"/>
      <c r="BP168" s="42"/>
      <c r="BQ168" s="42"/>
      <c r="BR168" s="183"/>
      <c r="BS168" s="183">
        <f>X168/Q168</f>
        <v>0</v>
      </c>
      <c r="BT168" s="48"/>
      <c r="BU168" s="48"/>
    </row>
    <row r="169" spans="1:73" s="14" customFormat="1" x14ac:dyDescent="0.25">
      <c r="A169" s="13">
        <v>78</v>
      </c>
      <c r="B169" s="59" t="s">
        <v>44</v>
      </c>
      <c r="C169" s="60"/>
      <c r="D169" s="61"/>
      <c r="E169" s="61"/>
      <c r="F169" s="145">
        <v>0</v>
      </c>
      <c r="G169" s="62"/>
      <c r="H169" s="60"/>
      <c r="I169" s="61"/>
      <c r="J169" s="61"/>
      <c r="K169" s="145">
        <v>440</v>
      </c>
      <c r="L169" s="62"/>
      <c r="M169" s="60"/>
      <c r="N169" s="61"/>
      <c r="O169" s="61"/>
      <c r="P169" s="145">
        <v>122</v>
      </c>
      <c r="Q169" s="62"/>
      <c r="R169" s="60"/>
      <c r="S169" s="61"/>
      <c r="T169" s="61"/>
      <c r="U169" s="61"/>
      <c r="V169" s="61"/>
      <c r="W169" s="145">
        <v>62</v>
      </c>
      <c r="X169" s="62"/>
      <c r="Y169" s="60"/>
      <c r="Z169" s="61"/>
      <c r="AA169" s="61"/>
      <c r="AB169" s="145"/>
      <c r="AC169" s="61"/>
      <c r="AD169" s="152">
        <v>31.75</v>
      </c>
      <c r="AE169" s="64"/>
      <c r="AF169" s="270"/>
      <c r="AG169" s="65"/>
      <c r="AH169" s="65"/>
      <c r="AI169" s="65"/>
      <c r="AJ169" s="65"/>
      <c r="AK169" s="196">
        <v>127836.48</v>
      </c>
      <c r="AL169" s="66"/>
      <c r="AM169" s="270"/>
      <c r="AN169" s="65"/>
      <c r="AO169" s="65"/>
      <c r="AP169" s="65"/>
      <c r="AQ169" s="65"/>
      <c r="AR169" s="196">
        <v>20558.03</v>
      </c>
      <c r="AS169" s="66"/>
      <c r="AT169" s="276"/>
      <c r="AU169" s="67"/>
      <c r="AV169" s="67"/>
      <c r="AW169" s="67"/>
      <c r="AX169" s="67"/>
      <c r="AY169" s="190">
        <f t="shared" si="83"/>
        <v>0.16081505060214424</v>
      </c>
      <c r="AZ169" s="68"/>
      <c r="BA169" s="276" t="s">
        <v>226</v>
      </c>
      <c r="BB169" s="69"/>
      <c r="BC169" s="69"/>
      <c r="BD169" s="69"/>
      <c r="BE169" s="69"/>
      <c r="BF169" s="199"/>
      <c r="BG169" s="70"/>
      <c r="BH169" s="60" t="s">
        <v>226</v>
      </c>
      <c r="BI169" s="71"/>
      <c r="BJ169" s="71"/>
      <c r="BK169" s="71"/>
      <c r="BL169" s="71"/>
      <c r="BM169" s="200"/>
      <c r="BN169" s="72"/>
      <c r="BO169" s="276"/>
      <c r="BP169" s="67"/>
      <c r="BQ169" s="67"/>
      <c r="BR169" s="190">
        <f>W169/P169</f>
        <v>0.50819672131147542</v>
      </c>
      <c r="BS169" s="190"/>
      <c r="BT169" s="73"/>
      <c r="BU169" s="73"/>
    </row>
    <row r="170" spans="1:73" s="9" customFormat="1" x14ac:dyDescent="0.25">
      <c r="A170" s="12">
        <v>79</v>
      </c>
      <c r="B170" s="17" t="s">
        <v>45</v>
      </c>
      <c r="C170" s="2">
        <v>2</v>
      </c>
      <c r="D170" s="3">
        <v>7</v>
      </c>
      <c r="E170" s="3">
        <v>7</v>
      </c>
      <c r="F170" s="144">
        <v>6</v>
      </c>
      <c r="G170" s="4"/>
      <c r="H170" s="2">
        <v>901</v>
      </c>
      <c r="I170" s="3">
        <v>889</v>
      </c>
      <c r="J170" s="3">
        <v>889</v>
      </c>
      <c r="K170" s="144">
        <v>927</v>
      </c>
      <c r="L170" s="4"/>
      <c r="M170" s="2">
        <v>0</v>
      </c>
      <c r="N170" s="3">
        <v>127</v>
      </c>
      <c r="O170" s="3">
        <v>280</v>
      </c>
      <c r="P170" s="144">
        <v>268</v>
      </c>
      <c r="Q170" s="4"/>
      <c r="R170" s="2">
        <v>16</v>
      </c>
      <c r="S170" s="3">
        <v>6</v>
      </c>
      <c r="T170" s="3">
        <v>34</v>
      </c>
      <c r="U170" s="3">
        <v>69</v>
      </c>
      <c r="V170" s="3">
        <v>22</v>
      </c>
      <c r="W170" s="144">
        <v>73</v>
      </c>
      <c r="X170" s="4"/>
      <c r="Y170" s="2">
        <v>26.64</v>
      </c>
      <c r="Z170" s="3"/>
      <c r="AA170" s="3"/>
      <c r="AB170" s="144"/>
      <c r="AC170" s="3"/>
      <c r="AD170" s="153">
        <v>44.76</v>
      </c>
      <c r="AE170" s="86"/>
      <c r="AF170" s="19">
        <v>188645</v>
      </c>
      <c r="AG170" s="20">
        <v>202069</v>
      </c>
      <c r="AH170" s="20">
        <v>261787</v>
      </c>
      <c r="AI170" s="20">
        <v>235369</v>
      </c>
      <c r="AJ170" s="20">
        <v>238880</v>
      </c>
      <c r="AK170" s="210">
        <v>342129</v>
      </c>
      <c r="AL170" s="21"/>
      <c r="AM170" s="19">
        <v>15375</v>
      </c>
      <c r="AN170" s="20">
        <v>13331</v>
      </c>
      <c r="AO170" s="20">
        <v>30183</v>
      </c>
      <c r="AP170" s="20">
        <v>32750</v>
      </c>
      <c r="AQ170" s="20">
        <v>67555</v>
      </c>
      <c r="AR170" s="210">
        <v>50079</v>
      </c>
      <c r="AS170" s="21"/>
      <c r="AT170" s="50">
        <f t="shared" si="69"/>
        <v>8.15022926661189E-2</v>
      </c>
      <c r="AU170" s="51">
        <f t="shared" si="70"/>
        <v>6.5972514339161376E-2</v>
      </c>
      <c r="AV170" s="51">
        <f t="shared" si="71"/>
        <v>0.11529602310275147</v>
      </c>
      <c r="AW170" s="51">
        <f t="shared" si="72"/>
        <v>0.1391432176709762</v>
      </c>
      <c r="AX170" s="51">
        <f t="shared" si="73"/>
        <v>0.28279889484259879</v>
      </c>
      <c r="AY170" s="211">
        <f t="shared" si="83"/>
        <v>0.14637461308453828</v>
      </c>
      <c r="AZ170" s="52"/>
      <c r="BA170" s="50" t="s">
        <v>226</v>
      </c>
      <c r="BB170" s="53">
        <f>(AU170-$AT170)*100</f>
        <v>-1.5529778326957524</v>
      </c>
      <c r="BC170" s="53">
        <f>(AV170-$AT170)*100</f>
        <v>3.3793730436632572</v>
      </c>
      <c r="BD170" s="53">
        <f t="shared" si="99"/>
        <v>5.7640925004857309</v>
      </c>
      <c r="BE170" s="53">
        <f t="shared" si="100"/>
        <v>20.129660217647988</v>
      </c>
      <c r="BF170" s="212">
        <f t="shared" si="88"/>
        <v>6.4872320418419376</v>
      </c>
      <c r="BG170" s="54"/>
      <c r="BH170" s="2" t="s">
        <v>226</v>
      </c>
      <c r="BI170" s="55">
        <f t="shared" si="94"/>
        <v>-1.5529778326957524</v>
      </c>
      <c r="BJ170" s="55">
        <f t="shared" si="95"/>
        <v>4.9323508763590098</v>
      </c>
      <c r="BK170" s="55">
        <f t="shared" si="96"/>
        <v>2.3847194568224732</v>
      </c>
      <c r="BL170" s="55">
        <f t="shared" si="97"/>
        <v>14.365567717162259</v>
      </c>
      <c r="BM170" s="213">
        <f t="shared" si="89"/>
        <v>-13.642428175806051</v>
      </c>
      <c r="BN170" s="56"/>
      <c r="BO170" s="50"/>
      <c r="BP170" s="51">
        <f>U170/N170</f>
        <v>0.54330708661417326</v>
      </c>
      <c r="BQ170" s="51">
        <f>V170/O170</f>
        <v>7.857142857142857E-2</v>
      </c>
      <c r="BR170" s="211">
        <f>W170/P170</f>
        <v>0.27238805970149255</v>
      </c>
      <c r="BS170" s="211"/>
      <c r="BT170" s="57"/>
      <c r="BU170" s="57"/>
    </row>
    <row r="171" spans="1:73" s="14" customFormat="1" x14ac:dyDescent="0.25">
      <c r="A171" s="13"/>
      <c r="B171" s="59" t="s">
        <v>86</v>
      </c>
      <c r="C171" s="60">
        <v>0</v>
      </c>
      <c r="D171" s="61">
        <v>0</v>
      </c>
      <c r="E171" s="61">
        <v>0</v>
      </c>
      <c r="F171" s="145">
        <v>0</v>
      </c>
      <c r="G171" s="62">
        <v>1</v>
      </c>
      <c r="H171" s="60">
        <v>227</v>
      </c>
      <c r="I171" s="61">
        <v>227</v>
      </c>
      <c r="J171" s="61">
        <v>227</v>
      </c>
      <c r="K171" s="145">
        <v>227</v>
      </c>
      <c r="L171" s="62">
        <v>205</v>
      </c>
      <c r="M171" s="60">
        <v>37</v>
      </c>
      <c r="N171" s="61">
        <v>49</v>
      </c>
      <c r="O171" s="61">
        <v>68</v>
      </c>
      <c r="P171" s="145">
        <v>73</v>
      </c>
      <c r="Q171" s="62">
        <v>53</v>
      </c>
      <c r="R171" s="60">
        <v>8</v>
      </c>
      <c r="S171" s="61">
        <v>7</v>
      </c>
      <c r="T171" s="61">
        <v>8</v>
      </c>
      <c r="U171" s="61">
        <v>9</v>
      </c>
      <c r="V171" s="61">
        <v>7</v>
      </c>
      <c r="W171" s="145">
        <v>1</v>
      </c>
      <c r="X171" s="62">
        <v>5</v>
      </c>
      <c r="Y171" s="60">
        <v>20.57</v>
      </c>
      <c r="Z171" s="61">
        <v>26.78</v>
      </c>
      <c r="AA171" s="61">
        <v>31.48</v>
      </c>
      <c r="AB171" s="145"/>
      <c r="AC171" s="61"/>
      <c r="AD171" s="152">
        <v>56.76</v>
      </c>
      <c r="AE171" s="152">
        <v>56.76</v>
      </c>
      <c r="AF171" s="270">
        <v>59921</v>
      </c>
      <c r="AG171" s="65">
        <v>72552</v>
      </c>
      <c r="AH171" s="65">
        <v>81297</v>
      </c>
      <c r="AI171" s="65">
        <v>123593</v>
      </c>
      <c r="AJ171" s="65">
        <v>95539</v>
      </c>
      <c r="AK171" s="196">
        <v>94591</v>
      </c>
      <c r="AL171" s="66">
        <v>96213</v>
      </c>
      <c r="AM171" s="270">
        <v>5734</v>
      </c>
      <c r="AN171" s="65">
        <v>7966</v>
      </c>
      <c r="AO171" s="65">
        <v>12741</v>
      </c>
      <c r="AP171" s="65">
        <v>20140</v>
      </c>
      <c r="AQ171" s="65">
        <v>14331</v>
      </c>
      <c r="AR171" s="196">
        <v>15858</v>
      </c>
      <c r="AS171" s="66">
        <v>13250</v>
      </c>
      <c r="AT171" s="276">
        <f t="shared" si="69"/>
        <v>9.5692662004973214E-2</v>
      </c>
      <c r="AU171" s="67">
        <f t="shared" si="70"/>
        <v>0.10979711103760062</v>
      </c>
      <c r="AV171" s="67">
        <f t="shared" si="71"/>
        <v>0.1567216502453965</v>
      </c>
      <c r="AW171" s="67">
        <f t="shared" si="72"/>
        <v>0.16295421261721943</v>
      </c>
      <c r="AX171" s="67">
        <f t="shared" si="73"/>
        <v>0.15000157003946032</v>
      </c>
      <c r="AY171" s="190">
        <f t="shared" si="83"/>
        <v>0.16764808491294098</v>
      </c>
      <c r="AZ171" s="68">
        <f t="shared" si="84"/>
        <v>0.13771527756124433</v>
      </c>
      <c r="BA171" s="276" t="s">
        <v>226</v>
      </c>
      <c r="BB171" s="69">
        <f>(AU171-$AT171)*100</f>
        <v>1.4104449032627406</v>
      </c>
      <c r="BC171" s="69">
        <f>(AV171-$AT171)*100</f>
        <v>6.1028988240423283</v>
      </c>
      <c r="BD171" s="69">
        <f t="shared" si="99"/>
        <v>6.7261550612246213</v>
      </c>
      <c r="BE171" s="69">
        <f t="shared" si="100"/>
        <v>5.4308908034487109</v>
      </c>
      <c r="BF171" s="199">
        <f t="shared" si="88"/>
        <v>7.1955422907967765</v>
      </c>
      <c r="BG171" s="70">
        <f t="shared" si="85"/>
        <v>4.2022615556271115</v>
      </c>
      <c r="BH171" s="60" t="s">
        <v>226</v>
      </c>
      <c r="BI171" s="71">
        <f t="shared" si="94"/>
        <v>1.4104449032627406</v>
      </c>
      <c r="BJ171" s="71">
        <f t="shared" si="95"/>
        <v>4.6924539207795881</v>
      </c>
      <c r="BK171" s="71">
        <f t="shared" si="96"/>
        <v>0.62325623718229306</v>
      </c>
      <c r="BL171" s="71">
        <f t="shared" si="97"/>
        <v>-1.2952642577759104</v>
      </c>
      <c r="BM171" s="200">
        <f t="shared" si="89"/>
        <v>1.7646514873480652</v>
      </c>
      <c r="BN171" s="72">
        <f t="shared" si="86"/>
        <v>-2.9932807351696651</v>
      </c>
      <c r="BO171" s="276">
        <f>T171/M171</f>
        <v>0.21621621621621623</v>
      </c>
      <c r="BP171" s="67">
        <f>U171/N171</f>
        <v>0.18367346938775511</v>
      </c>
      <c r="BQ171" s="67">
        <f>V171/O171</f>
        <v>0.10294117647058823</v>
      </c>
      <c r="BR171" s="190">
        <f>W171/P171</f>
        <v>1.3698630136986301E-2</v>
      </c>
      <c r="BS171" s="190">
        <f>X171/Q171</f>
        <v>9.4339622641509441E-2</v>
      </c>
      <c r="BT171" s="73">
        <f t="shared" si="87"/>
        <v>0</v>
      </c>
      <c r="BU171" s="73">
        <f>(Q171-P171)/P171</f>
        <v>-0.27397260273972601</v>
      </c>
    </row>
    <row r="172" spans="1:73" s="14" customFormat="1" x14ac:dyDescent="0.25">
      <c r="A172" s="13">
        <v>80</v>
      </c>
      <c r="B172" s="59" t="s">
        <v>46</v>
      </c>
      <c r="C172" s="60"/>
      <c r="D172" s="61"/>
      <c r="E172" s="61"/>
      <c r="F172" s="145"/>
      <c r="G172" s="62"/>
      <c r="H172" s="60"/>
      <c r="I172" s="61"/>
      <c r="J172" s="61"/>
      <c r="K172" s="145"/>
      <c r="L172" s="62"/>
      <c r="M172" s="60"/>
      <c r="N172" s="61"/>
      <c r="O172" s="61"/>
      <c r="P172" s="145"/>
      <c r="Q172" s="62"/>
      <c r="R172" s="60"/>
      <c r="S172" s="61"/>
      <c r="T172" s="61"/>
      <c r="U172" s="61"/>
      <c r="V172" s="61"/>
      <c r="W172" s="145"/>
      <c r="X172" s="62"/>
      <c r="Y172" s="60"/>
      <c r="Z172" s="61"/>
      <c r="AA172" s="61"/>
      <c r="AB172" s="145"/>
      <c r="AC172" s="61"/>
      <c r="AD172" s="152"/>
      <c r="AE172" s="64"/>
      <c r="AF172" s="270"/>
      <c r="AG172" s="65"/>
      <c r="AH172" s="65"/>
      <c r="AI172" s="65"/>
      <c r="AJ172" s="65">
        <v>81697</v>
      </c>
      <c r="AK172" s="196"/>
      <c r="AL172" s="66"/>
      <c r="AM172" s="270"/>
      <c r="AN172" s="65"/>
      <c r="AO172" s="65"/>
      <c r="AP172" s="65"/>
      <c r="AQ172" s="65">
        <v>1719</v>
      </c>
      <c r="AR172" s="196"/>
      <c r="AS172" s="66"/>
      <c r="AT172" s="276"/>
      <c r="AU172" s="67"/>
      <c r="AV172" s="67"/>
      <c r="AW172" s="67"/>
      <c r="AX172" s="67">
        <f t="shared" si="73"/>
        <v>2.1041164302238759E-2</v>
      </c>
      <c r="AY172" s="190"/>
      <c r="AZ172" s="68"/>
      <c r="BA172" s="276" t="s">
        <v>226</v>
      </c>
      <c r="BB172" s="69"/>
      <c r="BC172" s="69"/>
      <c r="BD172" s="69"/>
      <c r="BE172" s="69"/>
      <c r="BF172" s="199"/>
      <c r="BG172" s="70"/>
      <c r="BH172" s="60" t="s">
        <v>226</v>
      </c>
      <c r="BI172" s="71"/>
      <c r="BJ172" s="71"/>
      <c r="BK172" s="71"/>
      <c r="BL172" s="71"/>
      <c r="BM172" s="200"/>
      <c r="BN172" s="72"/>
      <c r="BO172" s="276"/>
      <c r="BP172" s="67"/>
      <c r="BQ172" s="67"/>
      <c r="BR172" s="190"/>
      <c r="BS172" s="190"/>
      <c r="BT172" s="73"/>
      <c r="BU172" s="73"/>
    </row>
    <row r="173" spans="1:73" x14ac:dyDescent="0.25">
      <c r="A173" s="15">
        <v>81</v>
      </c>
      <c r="B173" s="74" t="s">
        <v>47</v>
      </c>
      <c r="C173" s="246"/>
      <c r="D173" s="75"/>
      <c r="E173" s="75"/>
      <c r="F173" s="146"/>
      <c r="G173" s="76"/>
      <c r="H173" s="246"/>
      <c r="I173" s="75"/>
      <c r="J173" s="75"/>
      <c r="K173" s="146"/>
      <c r="L173" s="76"/>
      <c r="M173" s="246"/>
      <c r="N173" s="75"/>
      <c r="O173" s="75"/>
      <c r="P173" s="146"/>
      <c r="Q173" s="76"/>
      <c r="R173" s="246"/>
      <c r="S173" s="75"/>
      <c r="T173" s="75"/>
      <c r="U173" s="75"/>
      <c r="V173" s="75"/>
      <c r="W173" s="146"/>
      <c r="X173" s="76"/>
      <c r="Y173" s="246"/>
      <c r="Z173" s="75"/>
      <c r="AA173" s="75"/>
      <c r="AB173" s="146"/>
      <c r="AC173" s="75"/>
      <c r="AD173" s="258"/>
      <c r="AE173" s="160"/>
      <c r="AF173" s="271"/>
      <c r="AG173" s="77"/>
      <c r="AH173" s="77"/>
      <c r="AI173" s="77"/>
      <c r="AJ173" s="77"/>
      <c r="AK173" s="265"/>
      <c r="AL173" s="78"/>
      <c r="AM173" s="271"/>
      <c r="AN173" s="77"/>
      <c r="AO173" s="77"/>
      <c r="AP173" s="77"/>
      <c r="AQ173" s="77"/>
      <c r="AR173" s="265"/>
      <c r="AS173" s="78"/>
      <c r="AT173" s="277"/>
      <c r="AU173" s="79"/>
      <c r="AV173" s="79"/>
      <c r="AW173" s="79"/>
      <c r="AX173" s="79"/>
      <c r="AY173" s="274"/>
      <c r="AZ173" s="80"/>
      <c r="BA173" s="277" t="s">
        <v>226</v>
      </c>
      <c r="BB173" s="81"/>
      <c r="BC173" s="81"/>
      <c r="BD173" s="81"/>
      <c r="BE173" s="81"/>
      <c r="BF173" s="282"/>
      <c r="BG173" s="82"/>
      <c r="BH173" s="246" t="s">
        <v>226</v>
      </c>
      <c r="BI173" s="83"/>
      <c r="BJ173" s="83"/>
      <c r="BK173" s="83"/>
      <c r="BL173" s="83"/>
      <c r="BM173" s="286"/>
      <c r="BN173" s="84"/>
      <c r="BO173" s="277"/>
      <c r="BP173" s="79"/>
      <c r="BQ173" s="79"/>
      <c r="BR173" s="274"/>
      <c r="BS173" s="274"/>
      <c r="BT173" s="419"/>
      <c r="BU173" s="419"/>
    </row>
    <row r="174" spans="1:73" s="14" customFormat="1" x14ac:dyDescent="0.25">
      <c r="A174" s="13">
        <v>82</v>
      </c>
      <c r="B174" s="59" t="s">
        <v>296</v>
      </c>
      <c r="C174" s="60">
        <v>2</v>
      </c>
      <c r="D174" s="61">
        <v>24</v>
      </c>
      <c r="E174" s="61">
        <v>24</v>
      </c>
      <c r="F174" s="145">
        <v>25</v>
      </c>
      <c r="G174" s="62">
        <v>24</v>
      </c>
      <c r="H174" s="60">
        <v>393</v>
      </c>
      <c r="I174" s="61">
        <v>0</v>
      </c>
      <c r="J174" s="61">
        <v>0</v>
      </c>
      <c r="K174" s="145">
        <v>0</v>
      </c>
      <c r="L174" s="62">
        <v>0</v>
      </c>
      <c r="M174" s="60">
        <v>0</v>
      </c>
      <c r="N174" s="61">
        <v>0</v>
      </c>
      <c r="O174" s="61">
        <v>0</v>
      </c>
      <c r="P174" s="145">
        <v>40</v>
      </c>
      <c r="Q174" s="62">
        <v>48</v>
      </c>
      <c r="R174" s="60">
        <v>0</v>
      </c>
      <c r="S174" s="61">
        <v>0</v>
      </c>
      <c r="T174" s="61">
        <v>0</v>
      </c>
      <c r="U174" s="61">
        <v>0</v>
      </c>
      <c r="V174" s="61">
        <v>0</v>
      </c>
      <c r="W174" s="145">
        <v>0</v>
      </c>
      <c r="X174" s="62">
        <v>15</v>
      </c>
      <c r="Y174" s="60">
        <v>0</v>
      </c>
      <c r="Z174" s="61">
        <v>0</v>
      </c>
      <c r="AA174" s="61">
        <v>0</v>
      </c>
      <c r="AB174" s="145">
        <v>0</v>
      </c>
      <c r="AC174" s="61">
        <v>0</v>
      </c>
      <c r="AD174" s="152">
        <v>32.21</v>
      </c>
      <c r="AE174" s="64">
        <v>32.21</v>
      </c>
      <c r="AF174" s="270">
        <v>90546</v>
      </c>
      <c r="AG174" s="65">
        <v>97358</v>
      </c>
      <c r="AH174" s="65">
        <v>99700</v>
      </c>
      <c r="AI174" s="65">
        <v>129457</v>
      </c>
      <c r="AJ174" s="65">
        <v>154232</v>
      </c>
      <c r="AK174" s="196">
        <v>153479</v>
      </c>
      <c r="AL174" s="66">
        <v>139493</v>
      </c>
      <c r="AM174" s="270">
        <v>-2407</v>
      </c>
      <c r="AN174" s="65">
        <v>121</v>
      </c>
      <c r="AO174" s="65">
        <v>3026</v>
      </c>
      <c r="AP174" s="65">
        <v>-167</v>
      </c>
      <c r="AQ174" s="65">
        <v>7751</v>
      </c>
      <c r="AR174" s="196">
        <v>19232</v>
      </c>
      <c r="AS174" s="66">
        <v>19104</v>
      </c>
      <c r="AT174" s="276">
        <f>AM174/AF174</f>
        <v>-2.6583173193735779E-2</v>
      </c>
      <c r="AU174" s="67">
        <f>AN174/AG174</f>
        <v>1.2428357197148668E-3</v>
      </c>
      <c r="AV174" s="67">
        <f>AO174/AH174</f>
        <v>3.0351053159478437E-2</v>
      </c>
      <c r="AW174" s="67">
        <f>AP174/AI174</f>
        <v>-1.2900036305491399E-3</v>
      </c>
      <c r="AX174" s="67">
        <f>AQ174/AJ174</f>
        <v>5.0255459308055396E-2</v>
      </c>
      <c r="AY174" s="190">
        <f t="shared" si="83"/>
        <v>0.1253070452635214</v>
      </c>
      <c r="AZ174" s="68">
        <f t="shared" si="84"/>
        <v>0.13695310875814556</v>
      </c>
      <c r="BA174" s="276" t="s">
        <v>226</v>
      </c>
      <c r="BB174" s="69">
        <f t="shared" ref="BB174:BC176" si="101">(AU174-$AT174)*100</f>
        <v>2.7826008913450644</v>
      </c>
      <c r="BC174" s="69">
        <f t="shared" si="101"/>
        <v>5.6934226353214212</v>
      </c>
      <c r="BD174" s="69">
        <f t="shared" si="99"/>
        <v>2.5293169563186639</v>
      </c>
      <c r="BE174" s="69">
        <f t="shared" si="100"/>
        <v>7.683863250179118</v>
      </c>
      <c r="BF174" s="199">
        <f t="shared" si="88"/>
        <v>15.189021845725719</v>
      </c>
      <c r="BG174" s="70">
        <f t="shared" si="85"/>
        <v>16.353628195188136</v>
      </c>
      <c r="BH174" s="60" t="s">
        <v>226</v>
      </c>
      <c r="BI174" s="71">
        <f t="shared" si="94"/>
        <v>2.7826008913450644</v>
      </c>
      <c r="BJ174" s="71">
        <f t="shared" si="95"/>
        <v>2.9108217439763573</v>
      </c>
      <c r="BK174" s="71">
        <f t="shared" si="96"/>
        <v>-3.1641056790027577</v>
      </c>
      <c r="BL174" s="71">
        <f t="shared" si="97"/>
        <v>5.1545462938604532</v>
      </c>
      <c r="BM174" s="200">
        <f t="shared" si="89"/>
        <v>7.505158595546602</v>
      </c>
      <c r="BN174" s="72">
        <f t="shared" si="86"/>
        <v>1.1646063494624159</v>
      </c>
      <c r="BO174" s="276"/>
      <c r="BP174" s="67"/>
      <c r="BQ174" s="67"/>
      <c r="BR174" s="190">
        <f>W174/P174</f>
        <v>0</v>
      </c>
      <c r="BS174" s="190">
        <f>X174/Q174</f>
        <v>0.3125</v>
      </c>
      <c r="BT174" s="73">
        <f t="shared" si="87"/>
        <v>0</v>
      </c>
      <c r="BU174" s="73">
        <f>(Q174-P174)/P174</f>
        <v>0.2</v>
      </c>
    </row>
    <row r="175" spans="1:73" s="14" customFormat="1" x14ac:dyDescent="0.25">
      <c r="A175" s="13">
        <v>83</v>
      </c>
      <c r="B175" s="59" t="s">
        <v>48</v>
      </c>
      <c r="C175" s="60">
        <v>0</v>
      </c>
      <c r="D175" s="61">
        <v>0</v>
      </c>
      <c r="E175" s="61">
        <v>0</v>
      </c>
      <c r="F175" s="145">
        <v>0</v>
      </c>
      <c r="G175" s="62">
        <v>0</v>
      </c>
      <c r="H175" s="60">
        <v>423</v>
      </c>
      <c r="I175" s="61">
        <v>404</v>
      </c>
      <c r="J175" s="61">
        <v>411</v>
      </c>
      <c r="K175" s="145">
        <v>282</v>
      </c>
      <c r="L175" s="62">
        <v>293</v>
      </c>
      <c r="M175" s="60">
        <v>75</v>
      </c>
      <c r="N175" s="61">
        <v>77</v>
      </c>
      <c r="O175" s="61">
        <v>89</v>
      </c>
      <c r="P175" s="145">
        <v>103</v>
      </c>
      <c r="Q175" s="62">
        <v>97</v>
      </c>
      <c r="R175" s="60">
        <v>4</v>
      </c>
      <c r="S175" s="61">
        <v>2</v>
      </c>
      <c r="T175" s="61">
        <v>2</v>
      </c>
      <c r="U175" s="61">
        <v>0</v>
      </c>
      <c r="V175" s="61">
        <v>7</v>
      </c>
      <c r="W175" s="145">
        <v>6</v>
      </c>
      <c r="X175" s="62">
        <v>9</v>
      </c>
      <c r="Y175" s="60">
        <v>18.87</v>
      </c>
      <c r="Z175" s="61">
        <v>25.17</v>
      </c>
      <c r="AA175" s="61">
        <v>37.54</v>
      </c>
      <c r="AB175" s="145">
        <v>31.31</v>
      </c>
      <c r="AC175" s="61">
        <v>34.590000000000003</v>
      </c>
      <c r="AD175" s="152">
        <v>33.93</v>
      </c>
      <c r="AE175" s="64">
        <v>35.840000000000003</v>
      </c>
      <c r="AF175" s="270">
        <v>38879</v>
      </c>
      <c r="AG175" s="65">
        <v>40061</v>
      </c>
      <c r="AH175" s="65">
        <v>61289</v>
      </c>
      <c r="AI175" s="65">
        <v>76318</v>
      </c>
      <c r="AJ175" s="65">
        <v>59088</v>
      </c>
      <c r="AK175" s="196">
        <v>79693.72</v>
      </c>
      <c r="AL175" s="66">
        <v>92467</v>
      </c>
      <c r="AM175" s="270">
        <v>16958</v>
      </c>
      <c r="AN175" s="65">
        <v>11985</v>
      </c>
      <c r="AO175" s="65">
        <v>18190</v>
      </c>
      <c r="AP175" s="65">
        <v>33488</v>
      </c>
      <c r="AQ175" s="65">
        <v>38803</v>
      </c>
      <c r="AR175" s="196">
        <v>29515.19</v>
      </c>
      <c r="AS175" s="66">
        <v>10164</v>
      </c>
      <c r="AT175" s="276">
        <f t="shared" ref="AT175:AT249" si="102">AM175/AF175</f>
        <v>0.43617376990148926</v>
      </c>
      <c r="AU175" s="67">
        <f t="shared" ref="AU175:AX249" si="103">AN175/AG175</f>
        <v>0.29916876762936523</v>
      </c>
      <c r="AV175" s="67">
        <f t="shared" ref="AV175:AV249" si="104">AO175/AH175</f>
        <v>0.29679061495537534</v>
      </c>
      <c r="AW175" s="67">
        <f t="shared" ref="AW175:AW249" si="105">AP175/AI175</f>
        <v>0.43879556592153884</v>
      </c>
      <c r="AX175" s="67">
        <f t="shared" ref="AX175:AX249" si="106">AQ175/AJ175</f>
        <v>0.65669848361765504</v>
      </c>
      <c r="AY175" s="190">
        <f t="shared" si="83"/>
        <v>0.37035778979824258</v>
      </c>
      <c r="AZ175" s="68">
        <f t="shared" si="84"/>
        <v>0.10992029588934431</v>
      </c>
      <c r="BA175" s="276" t="s">
        <v>226</v>
      </c>
      <c r="BB175" s="69">
        <f t="shared" si="101"/>
        <v>-13.700500227212403</v>
      </c>
      <c r="BC175" s="69">
        <f t="shared" si="101"/>
        <v>-13.938315494611391</v>
      </c>
      <c r="BD175" s="69">
        <f t="shared" si="99"/>
        <v>0.26217960200495827</v>
      </c>
      <c r="BE175" s="69">
        <f t="shared" si="100"/>
        <v>22.052471371616576</v>
      </c>
      <c r="BF175" s="199">
        <f t="shared" si="88"/>
        <v>-6.5815980103246687</v>
      </c>
      <c r="BG175" s="70">
        <f t="shared" si="85"/>
        <v>-32.625347401214491</v>
      </c>
      <c r="BH175" s="60" t="s">
        <v>226</v>
      </c>
      <c r="BI175" s="71">
        <f t="shared" si="94"/>
        <v>-13.700500227212403</v>
      </c>
      <c r="BJ175" s="71">
        <f t="shared" si="95"/>
        <v>-0.23781526739898862</v>
      </c>
      <c r="BK175" s="71">
        <f t="shared" si="96"/>
        <v>14.200495096616351</v>
      </c>
      <c r="BL175" s="71">
        <f t="shared" si="97"/>
        <v>21.790291769611621</v>
      </c>
      <c r="BM175" s="200">
        <f t="shared" si="89"/>
        <v>-28.634069381941245</v>
      </c>
      <c r="BN175" s="72">
        <f t="shared" si="86"/>
        <v>-26.043749390889825</v>
      </c>
      <c r="BO175" s="276">
        <f t="shared" ref="BO175:BQ176" si="107">T175/M175</f>
        <v>2.6666666666666668E-2</v>
      </c>
      <c r="BP175" s="67">
        <f t="shared" si="107"/>
        <v>0</v>
      </c>
      <c r="BQ175" s="67">
        <f t="shared" si="107"/>
        <v>7.8651685393258425E-2</v>
      </c>
      <c r="BR175" s="190">
        <f>W175/P175</f>
        <v>5.8252427184466021E-2</v>
      </c>
      <c r="BS175" s="190">
        <f>X175/Q175</f>
        <v>9.2783505154639179E-2</v>
      </c>
      <c r="BT175" s="73">
        <f t="shared" si="87"/>
        <v>5.6292366637194335E-2</v>
      </c>
      <c r="BU175" s="73">
        <f>(Q175-P175)/P175</f>
        <v>-5.8252427184466021E-2</v>
      </c>
    </row>
    <row r="176" spans="1:73" s="14" customFormat="1" x14ac:dyDescent="0.25">
      <c r="A176" s="13">
        <v>83</v>
      </c>
      <c r="B176" s="59" t="s">
        <v>276</v>
      </c>
      <c r="C176" s="60">
        <v>0</v>
      </c>
      <c r="D176" s="61">
        <v>0</v>
      </c>
      <c r="E176" s="61">
        <v>0</v>
      </c>
      <c r="F176" s="145"/>
      <c r="G176" s="62"/>
      <c r="H176" s="60">
        <v>110</v>
      </c>
      <c r="I176" s="61">
        <v>113</v>
      </c>
      <c r="J176" s="61">
        <v>110</v>
      </c>
      <c r="K176" s="145"/>
      <c r="L176" s="62"/>
      <c r="M176" s="60">
        <v>22</v>
      </c>
      <c r="N176" s="61">
        <v>28</v>
      </c>
      <c r="O176" s="61">
        <v>30</v>
      </c>
      <c r="P176" s="145"/>
      <c r="Q176" s="62"/>
      <c r="R176" s="60">
        <v>0</v>
      </c>
      <c r="S176" s="61">
        <v>0</v>
      </c>
      <c r="T176" s="61">
        <v>0</v>
      </c>
      <c r="U176" s="61">
        <v>0</v>
      </c>
      <c r="V176" s="61">
        <v>0</v>
      </c>
      <c r="W176" s="145"/>
      <c r="X176" s="62"/>
      <c r="Y176" s="60">
        <v>17.649999999999999</v>
      </c>
      <c r="Z176" s="61">
        <v>17.649999999999999</v>
      </c>
      <c r="AA176" s="61">
        <v>18.989999999999998</v>
      </c>
      <c r="AB176" s="145">
        <v>19.91</v>
      </c>
      <c r="AC176" s="61">
        <v>19.91</v>
      </c>
      <c r="AD176" s="152"/>
      <c r="AE176" s="64"/>
      <c r="AF176" s="270">
        <v>11723</v>
      </c>
      <c r="AG176" s="65">
        <v>13224</v>
      </c>
      <c r="AH176" s="65">
        <v>14530</v>
      </c>
      <c r="AI176" s="65">
        <v>16609</v>
      </c>
      <c r="AJ176" s="65">
        <v>23471</v>
      </c>
      <c r="AK176" s="196"/>
      <c r="AL176" s="66"/>
      <c r="AM176" s="270">
        <v>1407</v>
      </c>
      <c r="AN176" s="65">
        <v>1923</v>
      </c>
      <c r="AO176" s="65">
        <v>2167</v>
      </c>
      <c r="AP176" s="65">
        <v>1892</v>
      </c>
      <c r="AQ176" s="65">
        <v>3655</v>
      </c>
      <c r="AR176" s="196"/>
      <c r="AS176" s="66"/>
      <c r="AT176" s="276">
        <f t="shared" si="102"/>
        <v>0.12002047257527937</v>
      </c>
      <c r="AU176" s="67">
        <f t="shared" si="103"/>
        <v>0.14541742286751361</v>
      </c>
      <c r="AV176" s="67">
        <f t="shared" si="104"/>
        <v>0.14913971094287681</v>
      </c>
      <c r="AW176" s="67">
        <f t="shared" si="105"/>
        <v>0.11391414293455356</v>
      </c>
      <c r="AX176" s="67">
        <f t="shared" si="106"/>
        <v>0.15572408504111457</v>
      </c>
      <c r="AY176" s="190"/>
      <c r="AZ176" s="68"/>
      <c r="BA176" s="276" t="s">
        <v>226</v>
      </c>
      <c r="BB176" s="69">
        <f t="shared" si="101"/>
        <v>2.5396950292234237</v>
      </c>
      <c r="BC176" s="69">
        <f t="shared" si="101"/>
        <v>2.9119238367597444</v>
      </c>
      <c r="BD176" s="69">
        <f t="shared" si="99"/>
        <v>-0.61063296407258139</v>
      </c>
      <c r="BE176" s="69">
        <f t="shared" si="100"/>
        <v>3.5703612465835199</v>
      </c>
      <c r="BF176" s="199"/>
      <c r="BG176" s="70"/>
      <c r="BH176" s="60" t="s">
        <v>226</v>
      </c>
      <c r="BI176" s="71">
        <f t="shared" si="94"/>
        <v>2.5396950292234237</v>
      </c>
      <c r="BJ176" s="71">
        <f t="shared" si="95"/>
        <v>0.37222880753632059</v>
      </c>
      <c r="BK176" s="71">
        <f t="shared" si="96"/>
        <v>-3.5225568008323256</v>
      </c>
      <c r="BL176" s="71">
        <f t="shared" si="97"/>
        <v>4.1809942106561016</v>
      </c>
      <c r="BM176" s="200"/>
      <c r="BN176" s="72"/>
      <c r="BO176" s="276">
        <f t="shared" si="107"/>
        <v>0</v>
      </c>
      <c r="BP176" s="67">
        <f t="shared" si="107"/>
        <v>0</v>
      </c>
      <c r="BQ176" s="67">
        <f t="shared" si="107"/>
        <v>0</v>
      </c>
      <c r="BR176" s="190"/>
      <c r="BS176" s="190"/>
      <c r="BT176" s="73"/>
      <c r="BU176" s="73"/>
    </row>
    <row r="177" spans="1:73" s="14" customFormat="1" x14ac:dyDescent="0.25">
      <c r="A177" s="13">
        <v>84</v>
      </c>
      <c r="B177" s="59" t="s">
        <v>297</v>
      </c>
      <c r="C177" s="60">
        <v>0</v>
      </c>
      <c r="D177" s="61">
        <v>0</v>
      </c>
      <c r="E177" s="61">
        <v>0</v>
      </c>
      <c r="F177" s="145">
        <v>0</v>
      </c>
      <c r="G177" s="62"/>
      <c r="H177" s="60"/>
      <c r="I177" s="61"/>
      <c r="J177" s="61">
        <v>103</v>
      </c>
      <c r="K177" s="145">
        <v>103</v>
      </c>
      <c r="L177" s="62"/>
      <c r="M177" s="60"/>
      <c r="N177" s="61"/>
      <c r="O177" s="61">
        <v>17</v>
      </c>
      <c r="P177" s="145">
        <v>25</v>
      </c>
      <c r="Q177" s="62"/>
      <c r="R177" s="60"/>
      <c r="S177" s="61"/>
      <c r="T177" s="61"/>
      <c r="U177" s="61"/>
      <c r="V177" s="61">
        <v>11</v>
      </c>
      <c r="W177" s="145">
        <v>0</v>
      </c>
      <c r="X177" s="62"/>
      <c r="Y177" s="60"/>
      <c r="Z177" s="61"/>
      <c r="AA177" s="61"/>
      <c r="AB177" s="145"/>
      <c r="AC177" s="61" t="s">
        <v>104</v>
      </c>
      <c r="AD177" s="152" t="s">
        <v>340</v>
      </c>
      <c r="AE177" s="64"/>
      <c r="AF177" s="270"/>
      <c r="AG177" s="65"/>
      <c r="AH177" s="65"/>
      <c r="AI177" s="65"/>
      <c r="AJ177" s="65">
        <v>18228</v>
      </c>
      <c r="AK177" s="196">
        <v>37589.730000000003</v>
      </c>
      <c r="AL177" s="66"/>
      <c r="AM177" s="270"/>
      <c r="AN177" s="65"/>
      <c r="AO177" s="65"/>
      <c r="AP177" s="65"/>
      <c r="AQ177" s="65">
        <v>6999</v>
      </c>
      <c r="AR177" s="196">
        <v>12781.93</v>
      </c>
      <c r="AS177" s="66"/>
      <c r="AT177" s="276"/>
      <c r="AU177" s="67"/>
      <c r="AV177" s="67"/>
      <c r="AW177" s="67"/>
      <c r="AX177" s="67">
        <f t="shared" si="106"/>
        <v>0.38396971691902565</v>
      </c>
      <c r="AY177" s="190">
        <f t="shared" si="83"/>
        <v>0.34003782416101419</v>
      </c>
      <c r="AZ177" s="68"/>
      <c r="BA177" s="276" t="s">
        <v>226</v>
      </c>
      <c r="BB177" s="69"/>
      <c r="BC177" s="69"/>
      <c r="BD177" s="69"/>
      <c r="BE177" s="69"/>
      <c r="BF177" s="199"/>
      <c r="BG177" s="70"/>
      <c r="BH177" s="60" t="s">
        <v>226</v>
      </c>
      <c r="BI177" s="71"/>
      <c r="BJ177" s="71"/>
      <c r="BK177" s="71"/>
      <c r="BL177" s="71"/>
      <c r="BM177" s="200"/>
      <c r="BN177" s="72"/>
      <c r="BO177" s="276"/>
      <c r="BP177" s="67"/>
      <c r="BQ177" s="67">
        <f>V177/O177</f>
        <v>0.6470588235294118</v>
      </c>
      <c r="BR177" s="190">
        <f>W177/P177</f>
        <v>0</v>
      </c>
      <c r="BS177" s="190"/>
      <c r="BT177" s="73"/>
      <c r="BU177" s="73"/>
    </row>
    <row r="178" spans="1:73" s="14" customFormat="1" x14ac:dyDescent="0.25">
      <c r="A178" s="13">
        <v>85</v>
      </c>
      <c r="B178" s="59" t="s">
        <v>49</v>
      </c>
      <c r="C178" s="60">
        <v>12</v>
      </c>
      <c r="D178" s="61">
        <v>12</v>
      </c>
      <c r="E178" s="61">
        <v>12</v>
      </c>
      <c r="F178" s="145">
        <v>0</v>
      </c>
      <c r="G178" s="62">
        <v>12</v>
      </c>
      <c r="H178" s="60">
        <v>230</v>
      </c>
      <c r="I178" s="61">
        <v>238</v>
      </c>
      <c r="J178" s="61">
        <v>238</v>
      </c>
      <c r="K178" s="145">
        <v>245</v>
      </c>
      <c r="L178" s="62">
        <v>247</v>
      </c>
      <c r="M178" s="60">
        <v>7</v>
      </c>
      <c r="N178" s="61">
        <v>24</v>
      </c>
      <c r="O178" s="61">
        <v>46</v>
      </c>
      <c r="P178" s="145">
        <v>56</v>
      </c>
      <c r="Q178" s="62">
        <v>48</v>
      </c>
      <c r="R178" s="60">
        <v>12</v>
      </c>
      <c r="S178" s="61">
        <v>6</v>
      </c>
      <c r="T178" s="61">
        <v>7</v>
      </c>
      <c r="U178" s="61">
        <v>25</v>
      </c>
      <c r="V178" s="61">
        <v>20</v>
      </c>
      <c r="W178" s="145">
        <v>16</v>
      </c>
      <c r="X178" s="62">
        <v>15</v>
      </c>
      <c r="Y178" s="60">
        <v>23.57</v>
      </c>
      <c r="Z178" s="61">
        <v>30.57</v>
      </c>
      <c r="AA178" s="61">
        <v>37.6</v>
      </c>
      <c r="AB178" s="145">
        <v>37.6</v>
      </c>
      <c r="AC178" s="61">
        <v>37.6</v>
      </c>
      <c r="AD178" s="145">
        <v>37.6</v>
      </c>
      <c r="AE178" s="145">
        <v>37.6</v>
      </c>
      <c r="AF178" s="270">
        <v>34266</v>
      </c>
      <c r="AG178" s="65">
        <v>34202</v>
      </c>
      <c r="AH178" s="65">
        <v>48860</v>
      </c>
      <c r="AI178" s="65">
        <v>68782</v>
      </c>
      <c r="AJ178" s="65">
        <v>60136</v>
      </c>
      <c r="AK178" s="196">
        <v>66744</v>
      </c>
      <c r="AL178" s="66">
        <v>78276</v>
      </c>
      <c r="AM178" s="270">
        <v>528</v>
      </c>
      <c r="AN178" s="65">
        <v>406</v>
      </c>
      <c r="AO178" s="65">
        <v>917</v>
      </c>
      <c r="AP178" s="65">
        <v>4630</v>
      </c>
      <c r="AQ178" s="65">
        <v>7570</v>
      </c>
      <c r="AR178" s="196">
        <v>8706</v>
      </c>
      <c r="AS178" s="66">
        <v>10083</v>
      </c>
      <c r="AT178" s="276">
        <f t="shared" si="102"/>
        <v>1.5408860094554369E-2</v>
      </c>
      <c r="AU178" s="67">
        <f t="shared" si="103"/>
        <v>1.1870650839132215E-2</v>
      </c>
      <c r="AV178" s="67">
        <f t="shared" si="104"/>
        <v>1.8767908309455586E-2</v>
      </c>
      <c r="AW178" s="67">
        <f t="shared" si="105"/>
        <v>6.7314122880986302E-2</v>
      </c>
      <c r="AX178" s="67">
        <f t="shared" si="106"/>
        <v>0.12588133563921777</v>
      </c>
      <c r="AY178" s="190">
        <f t="shared" si="83"/>
        <v>0.13043869111830278</v>
      </c>
      <c r="AZ178" s="68">
        <f t="shared" si="84"/>
        <v>0.12881342940364862</v>
      </c>
      <c r="BA178" s="276" t="s">
        <v>226</v>
      </c>
      <c r="BB178" s="69">
        <f t="shared" ref="BB178:BC183" si="108">(AU178-$AT178)*100</f>
        <v>-0.35382092554221545</v>
      </c>
      <c r="BC178" s="69">
        <f t="shared" si="108"/>
        <v>0.33590482149012163</v>
      </c>
      <c r="BD178" s="69">
        <f t="shared" si="99"/>
        <v>5.1905262786431932</v>
      </c>
      <c r="BE178" s="69">
        <f t="shared" si="100"/>
        <v>11.04724755446634</v>
      </c>
      <c r="BF178" s="199">
        <f t="shared" si="88"/>
        <v>11.50298310237484</v>
      </c>
      <c r="BG178" s="70">
        <f t="shared" si="85"/>
        <v>11.340456930909424</v>
      </c>
      <c r="BH178" s="60" t="s">
        <v>226</v>
      </c>
      <c r="BI178" s="71">
        <f t="shared" si="94"/>
        <v>-0.35382092554221545</v>
      </c>
      <c r="BJ178" s="71">
        <f t="shared" si="95"/>
        <v>0.68972574703233713</v>
      </c>
      <c r="BK178" s="71">
        <f t="shared" si="96"/>
        <v>4.8546214571530717</v>
      </c>
      <c r="BL178" s="71">
        <f t="shared" si="97"/>
        <v>5.8567212758231468</v>
      </c>
      <c r="BM178" s="200">
        <f t="shared" si="89"/>
        <v>0.45573554790850068</v>
      </c>
      <c r="BN178" s="72">
        <f t="shared" si="86"/>
        <v>-0.16252617146541581</v>
      </c>
      <c r="BO178" s="276">
        <f>T178/M178</f>
        <v>1</v>
      </c>
      <c r="BP178" s="67">
        <f>U178/N178</f>
        <v>1.0416666666666667</v>
      </c>
      <c r="BQ178" s="67">
        <f>V178/O178</f>
        <v>0.43478260869565216</v>
      </c>
      <c r="BR178" s="190">
        <f>W178/P178</f>
        <v>0.2857142857142857</v>
      </c>
      <c r="BS178" s="190">
        <f>X178/Q178</f>
        <v>0.3125</v>
      </c>
      <c r="BT178" s="73">
        <f t="shared" si="87"/>
        <v>0</v>
      </c>
      <c r="BU178" s="73">
        <f>(Q178-P178)/P178</f>
        <v>-0.14285714285714285</v>
      </c>
    </row>
    <row r="179" spans="1:73" s="9" customFormat="1" x14ac:dyDescent="0.25">
      <c r="A179" s="12">
        <v>86</v>
      </c>
      <c r="B179" s="17" t="s">
        <v>50</v>
      </c>
      <c r="C179" s="2">
        <v>120</v>
      </c>
      <c r="D179" s="3">
        <v>120</v>
      </c>
      <c r="E179" s="3">
        <v>120</v>
      </c>
      <c r="F179" s="144">
        <v>120</v>
      </c>
      <c r="G179" s="4">
        <v>119</v>
      </c>
      <c r="H179" s="2">
        <v>2</v>
      </c>
      <c r="I179" s="3">
        <v>2</v>
      </c>
      <c r="J179" s="3">
        <v>2</v>
      </c>
      <c r="K179" s="144">
        <v>2</v>
      </c>
      <c r="L179" s="4">
        <v>2</v>
      </c>
      <c r="M179" s="2"/>
      <c r="N179" s="3"/>
      <c r="O179" s="3"/>
      <c r="P179" s="144">
        <v>8</v>
      </c>
      <c r="Q179" s="4">
        <v>45</v>
      </c>
      <c r="R179" s="2"/>
      <c r="S179" s="3"/>
      <c r="T179" s="3"/>
      <c r="U179" s="3"/>
      <c r="V179" s="3"/>
      <c r="W179" s="144">
        <v>0</v>
      </c>
      <c r="X179" s="4">
        <v>0</v>
      </c>
      <c r="Y179" s="5">
        <v>21.4</v>
      </c>
      <c r="Z179" s="3">
        <v>27.47</v>
      </c>
      <c r="AA179" s="3">
        <v>40.729999999999997</v>
      </c>
      <c r="AB179" s="144">
        <v>46.63</v>
      </c>
      <c r="AC179" s="3">
        <v>37.67</v>
      </c>
      <c r="AD179" s="153">
        <v>44.41</v>
      </c>
      <c r="AE179" s="86">
        <v>38.909999999999997</v>
      </c>
      <c r="AF179" s="19">
        <v>1347491</v>
      </c>
      <c r="AG179" s="20">
        <v>1472627</v>
      </c>
      <c r="AH179" s="20">
        <v>2134273</v>
      </c>
      <c r="AI179" s="20">
        <v>2834273</v>
      </c>
      <c r="AJ179" s="20">
        <v>2284103</v>
      </c>
      <c r="AK179" s="210">
        <v>2586411.41</v>
      </c>
      <c r="AL179" s="21">
        <v>2622416</v>
      </c>
      <c r="AM179" s="19">
        <v>51302</v>
      </c>
      <c r="AN179" s="20">
        <v>66323</v>
      </c>
      <c r="AO179" s="20">
        <v>116156</v>
      </c>
      <c r="AP179" s="20">
        <v>679970</v>
      </c>
      <c r="AQ179" s="20">
        <v>411239</v>
      </c>
      <c r="AR179" s="210">
        <v>494777.98</v>
      </c>
      <c r="AS179" s="21">
        <v>383328</v>
      </c>
      <c r="AT179" s="50">
        <f t="shared" si="102"/>
        <v>3.8072239443528749E-2</v>
      </c>
      <c r="AU179" s="51">
        <f t="shared" si="103"/>
        <v>4.5037202224324287E-2</v>
      </c>
      <c r="AV179" s="51">
        <f t="shared" si="104"/>
        <v>5.4424152861419321E-2</v>
      </c>
      <c r="AW179" s="51">
        <f t="shared" si="105"/>
        <v>0.23990984636977455</v>
      </c>
      <c r="AX179" s="51">
        <f t="shared" si="106"/>
        <v>0.18004398225474069</v>
      </c>
      <c r="AY179" s="211">
        <f t="shared" si="83"/>
        <v>0.19129902462037157</v>
      </c>
      <c r="AZ179" s="52">
        <f t="shared" si="84"/>
        <v>0.1461736047980183</v>
      </c>
      <c r="BA179" s="50" t="s">
        <v>226</v>
      </c>
      <c r="BB179" s="53">
        <f t="shared" si="108"/>
        <v>0.69649627807955372</v>
      </c>
      <c r="BC179" s="53">
        <f t="shared" si="108"/>
        <v>1.6351913417890571</v>
      </c>
      <c r="BD179" s="53">
        <f t="shared" si="99"/>
        <v>20.183760692624581</v>
      </c>
      <c r="BE179" s="53">
        <f t="shared" si="100"/>
        <v>14.197174281121194</v>
      </c>
      <c r="BF179" s="212">
        <f t="shared" si="88"/>
        <v>15.322678517684283</v>
      </c>
      <c r="BG179" s="54">
        <f t="shared" si="85"/>
        <v>10.810136535448954</v>
      </c>
      <c r="BH179" s="2" t="s">
        <v>226</v>
      </c>
      <c r="BI179" s="55">
        <f t="shared" si="94"/>
        <v>0.69649627807955372</v>
      </c>
      <c r="BJ179" s="55">
        <f t="shared" si="95"/>
        <v>0.93869506370950351</v>
      </c>
      <c r="BK179" s="55">
        <f t="shared" si="96"/>
        <v>18.548569350835521</v>
      </c>
      <c r="BL179" s="55">
        <f t="shared" si="97"/>
        <v>-5.986586411503386</v>
      </c>
      <c r="BM179" s="213">
        <f t="shared" si="89"/>
        <v>1.1255042365630881</v>
      </c>
      <c r="BN179" s="56">
        <f t="shared" si="86"/>
        <v>-4.5125419822353265</v>
      </c>
      <c r="BO179" s="50"/>
      <c r="BP179" s="51"/>
      <c r="BQ179" s="51"/>
      <c r="BR179" s="211">
        <f>W179/P179</f>
        <v>0</v>
      </c>
      <c r="BS179" s="211">
        <f>X179/Q179</f>
        <v>0</v>
      </c>
      <c r="BT179" s="57">
        <f t="shared" si="87"/>
        <v>-0.12384598063499212</v>
      </c>
      <c r="BU179" s="57"/>
    </row>
    <row r="180" spans="1:73" s="14" customFormat="1" x14ac:dyDescent="0.25">
      <c r="A180" s="13">
        <v>87</v>
      </c>
      <c r="B180" s="59" t="s">
        <v>298</v>
      </c>
      <c r="C180" s="60">
        <v>21</v>
      </c>
      <c r="D180" s="61">
        <v>36</v>
      </c>
      <c r="E180" s="61">
        <v>70</v>
      </c>
      <c r="F180" s="145">
        <v>64</v>
      </c>
      <c r="G180" s="62"/>
      <c r="H180" s="60"/>
      <c r="I180" s="61"/>
      <c r="J180" s="61"/>
      <c r="K180" s="145">
        <v>0</v>
      </c>
      <c r="L180" s="62"/>
      <c r="M180" s="60">
        <v>197</v>
      </c>
      <c r="N180" s="61">
        <v>411</v>
      </c>
      <c r="O180" s="61">
        <v>372</v>
      </c>
      <c r="P180" s="145">
        <v>262</v>
      </c>
      <c r="Q180" s="62"/>
      <c r="R180" s="60">
        <v>8</v>
      </c>
      <c r="S180" s="61">
        <v>2</v>
      </c>
      <c r="T180" s="61">
        <v>5</v>
      </c>
      <c r="U180" s="61">
        <v>4</v>
      </c>
      <c r="V180" s="61">
        <v>12</v>
      </c>
      <c r="W180" s="145">
        <v>24</v>
      </c>
      <c r="X180" s="62"/>
      <c r="Y180" s="60">
        <v>27.87</v>
      </c>
      <c r="Z180" s="61">
        <v>32.799999999999997</v>
      </c>
      <c r="AA180" s="61">
        <v>54.23</v>
      </c>
      <c r="AB180" s="145">
        <v>44.58</v>
      </c>
      <c r="AC180" s="61">
        <v>42.21</v>
      </c>
      <c r="AD180" s="145">
        <v>42.21</v>
      </c>
      <c r="AE180" s="62"/>
      <c r="AF180" s="270">
        <v>474652</v>
      </c>
      <c r="AG180" s="65">
        <v>553133</v>
      </c>
      <c r="AH180" s="65">
        <v>645876</v>
      </c>
      <c r="AI180" s="65">
        <v>970867</v>
      </c>
      <c r="AJ180" s="65">
        <v>575613</v>
      </c>
      <c r="AK180" s="196">
        <v>544571</v>
      </c>
      <c r="AL180" s="66"/>
      <c r="AM180" s="270"/>
      <c r="AN180" s="65"/>
      <c r="AO180" s="65">
        <v>37994</v>
      </c>
      <c r="AP180" s="65">
        <v>80916</v>
      </c>
      <c r="AQ180" s="65">
        <v>76229</v>
      </c>
      <c r="AR180" s="196">
        <v>74169</v>
      </c>
      <c r="AS180" s="66"/>
      <c r="AT180" s="276">
        <f t="shared" si="102"/>
        <v>0</v>
      </c>
      <c r="AU180" s="67">
        <f t="shared" si="103"/>
        <v>0</v>
      </c>
      <c r="AV180" s="67">
        <f t="shared" si="104"/>
        <v>5.8825533074460111E-2</v>
      </c>
      <c r="AW180" s="67">
        <f t="shared" si="105"/>
        <v>8.3344062574997393E-2</v>
      </c>
      <c r="AX180" s="67">
        <f t="shared" si="106"/>
        <v>0.13243099096094077</v>
      </c>
      <c r="AY180" s="190">
        <f t="shared" si="83"/>
        <v>0.13619711662942022</v>
      </c>
      <c r="AZ180" s="68"/>
      <c r="BA180" s="276" t="s">
        <v>226</v>
      </c>
      <c r="BB180" s="69">
        <f t="shared" si="108"/>
        <v>0</v>
      </c>
      <c r="BC180" s="69">
        <f t="shared" si="108"/>
        <v>5.8825533074460115</v>
      </c>
      <c r="BD180" s="69">
        <f t="shared" si="99"/>
        <v>8.3344062574997402</v>
      </c>
      <c r="BE180" s="69">
        <f t="shared" si="100"/>
        <v>13.243099096094078</v>
      </c>
      <c r="BF180" s="199">
        <f t="shared" si="88"/>
        <v>13.619711662942022</v>
      </c>
      <c r="BG180" s="70"/>
      <c r="BH180" s="60" t="s">
        <v>226</v>
      </c>
      <c r="BI180" s="71">
        <f t="shared" si="94"/>
        <v>0</v>
      </c>
      <c r="BJ180" s="71">
        <f t="shared" si="95"/>
        <v>5.8825533074460115</v>
      </c>
      <c r="BK180" s="71">
        <f t="shared" si="96"/>
        <v>2.4518529500537283</v>
      </c>
      <c r="BL180" s="71">
        <f t="shared" si="97"/>
        <v>4.9086928385943374</v>
      </c>
      <c r="BM180" s="200">
        <f t="shared" si="89"/>
        <v>0.37661256684794475</v>
      </c>
      <c r="BN180" s="72"/>
      <c r="BO180" s="276">
        <f t="shared" ref="BO180:BQ183" si="109">T180/M180</f>
        <v>2.5380710659898477E-2</v>
      </c>
      <c r="BP180" s="67">
        <f t="shared" si="109"/>
        <v>9.7323600973236012E-3</v>
      </c>
      <c r="BQ180" s="67">
        <f t="shared" si="109"/>
        <v>3.2258064516129031E-2</v>
      </c>
      <c r="BR180" s="190">
        <f>W180/P180</f>
        <v>9.1603053435114504E-2</v>
      </c>
      <c r="BS180" s="190"/>
      <c r="BT180" s="73"/>
      <c r="BU180" s="73"/>
    </row>
    <row r="181" spans="1:73" s="14" customFormat="1" x14ac:dyDescent="0.25">
      <c r="A181" s="13"/>
      <c r="B181" s="59" t="s">
        <v>277</v>
      </c>
      <c r="C181" s="60">
        <v>0</v>
      </c>
      <c r="D181" s="61">
        <v>0</v>
      </c>
      <c r="E181" s="61">
        <v>0</v>
      </c>
      <c r="F181" s="145">
        <v>0</v>
      </c>
      <c r="G181" s="62"/>
      <c r="H181" s="60">
        <v>107</v>
      </c>
      <c r="I181" s="61">
        <v>109</v>
      </c>
      <c r="J181" s="61">
        <v>110</v>
      </c>
      <c r="K181" s="145">
        <v>123</v>
      </c>
      <c r="L181" s="62"/>
      <c r="M181" s="60">
        <v>10</v>
      </c>
      <c r="N181" s="61">
        <v>17</v>
      </c>
      <c r="O181" s="61">
        <v>12</v>
      </c>
      <c r="P181" s="145">
        <v>12</v>
      </c>
      <c r="Q181" s="62"/>
      <c r="R181" s="60">
        <v>0</v>
      </c>
      <c r="S181" s="61">
        <v>0</v>
      </c>
      <c r="T181" s="61">
        <v>0</v>
      </c>
      <c r="U181" s="61">
        <v>0</v>
      </c>
      <c r="V181" s="61">
        <v>0</v>
      </c>
      <c r="W181" s="145">
        <v>0</v>
      </c>
      <c r="X181" s="62"/>
      <c r="Y181" s="60"/>
      <c r="Z181" s="61"/>
      <c r="AA181" s="61"/>
      <c r="AB181" s="145"/>
      <c r="AC181" s="61"/>
      <c r="AD181" s="152"/>
      <c r="AE181" s="64"/>
      <c r="AF181" s="270">
        <v>14251</v>
      </c>
      <c r="AG181" s="65">
        <v>14849</v>
      </c>
      <c r="AH181" s="65">
        <v>17266</v>
      </c>
      <c r="AI181" s="65">
        <v>21240</v>
      </c>
      <c r="AJ181" s="65">
        <v>23760</v>
      </c>
      <c r="AK181" s="196">
        <v>24873</v>
      </c>
      <c r="AL181" s="66"/>
      <c r="AM181" s="270">
        <v>317</v>
      </c>
      <c r="AN181" s="65">
        <v>525</v>
      </c>
      <c r="AO181" s="65">
        <v>693</v>
      </c>
      <c r="AP181" s="65">
        <v>600</v>
      </c>
      <c r="AQ181" s="65">
        <v>587</v>
      </c>
      <c r="AR181" s="196">
        <v>902</v>
      </c>
      <c r="AS181" s="66"/>
      <c r="AT181" s="276">
        <f t="shared" si="102"/>
        <v>2.2244053048908849E-2</v>
      </c>
      <c r="AU181" s="67">
        <f t="shared" si="103"/>
        <v>3.5355916223314701E-2</v>
      </c>
      <c r="AV181" s="67">
        <f t="shared" si="104"/>
        <v>4.0136684814085485E-2</v>
      </c>
      <c r="AW181" s="67">
        <f t="shared" si="105"/>
        <v>2.8248587570621469E-2</v>
      </c>
      <c r="AX181" s="67">
        <f t="shared" si="106"/>
        <v>2.4705387205387206E-2</v>
      </c>
      <c r="AY181" s="190">
        <f t="shared" si="83"/>
        <v>3.6264222249025049E-2</v>
      </c>
      <c r="AZ181" s="68"/>
      <c r="BA181" s="276" t="s">
        <v>226</v>
      </c>
      <c r="BB181" s="69">
        <f t="shared" si="108"/>
        <v>1.3111863174405851</v>
      </c>
      <c r="BC181" s="69">
        <f t="shared" si="108"/>
        <v>1.7892631765176636</v>
      </c>
      <c r="BD181" s="69">
        <f t="shared" si="99"/>
        <v>0.600453452171262</v>
      </c>
      <c r="BE181" s="69">
        <f t="shared" si="100"/>
        <v>0.2461334156478357</v>
      </c>
      <c r="BF181" s="199">
        <f t="shared" si="88"/>
        <v>1.4020169200116199</v>
      </c>
      <c r="BG181" s="70"/>
      <c r="BH181" s="60" t="s">
        <v>226</v>
      </c>
      <c r="BI181" s="71">
        <f t="shared" si="94"/>
        <v>1.3111863174405851</v>
      </c>
      <c r="BJ181" s="71">
        <f t="shared" si="95"/>
        <v>0.47807685907707842</v>
      </c>
      <c r="BK181" s="71">
        <f t="shared" si="96"/>
        <v>-1.1888097243464018</v>
      </c>
      <c r="BL181" s="71">
        <f t="shared" si="97"/>
        <v>-0.35432003652342625</v>
      </c>
      <c r="BM181" s="200">
        <f t="shared" si="89"/>
        <v>1.1558835043637843</v>
      </c>
      <c r="BN181" s="72"/>
      <c r="BO181" s="276">
        <f t="shared" si="109"/>
        <v>0</v>
      </c>
      <c r="BP181" s="67">
        <f t="shared" si="109"/>
        <v>0</v>
      </c>
      <c r="BQ181" s="67">
        <f t="shared" si="109"/>
        <v>0</v>
      </c>
      <c r="BR181" s="190">
        <f>W181/P181</f>
        <v>0</v>
      </c>
      <c r="BS181" s="190"/>
      <c r="BT181" s="73"/>
      <c r="BU181" s="73"/>
    </row>
    <row r="182" spans="1:73" s="14" customFormat="1" x14ac:dyDescent="0.25">
      <c r="A182" s="13"/>
      <c r="B182" s="59" t="s">
        <v>278</v>
      </c>
      <c r="C182" s="60">
        <v>0</v>
      </c>
      <c r="D182" s="61">
        <v>0</v>
      </c>
      <c r="E182" s="61">
        <v>0</v>
      </c>
      <c r="F182" s="145"/>
      <c r="G182" s="62"/>
      <c r="H182" s="60">
        <v>52</v>
      </c>
      <c r="I182" s="61">
        <v>54</v>
      </c>
      <c r="J182" s="61">
        <v>52</v>
      </c>
      <c r="K182" s="145"/>
      <c r="L182" s="62"/>
      <c r="M182" s="60">
        <v>15</v>
      </c>
      <c r="N182" s="61">
        <v>12</v>
      </c>
      <c r="O182" s="61">
        <v>8</v>
      </c>
      <c r="P182" s="145"/>
      <c r="Q182" s="62"/>
      <c r="R182" s="60"/>
      <c r="S182" s="61"/>
      <c r="T182" s="61"/>
      <c r="U182" s="61"/>
      <c r="V182" s="61"/>
      <c r="W182" s="145"/>
      <c r="X182" s="62"/>
      <c r="Y182" s="60">
        <v>11.05</v>
      </c>
      <c r="Z182" s="61">
        <f>(11.05+12.65)/2</f>
        <v>11.850000000000001</v>
      </c>
      <c r="AA182" s="61">
        <v>12.65</v>
      </c>
      <c r="AB182" s="145">
        <v>12.65</v>
      </c>
      <c r="AC182" s="61">
        <v>12.65</v>
      </c>
      <c r="AD182" s="152"/>
      <c r="AE182" s="64"/>
      <c r="AF182" s="270">
        <v>2112</v>
      </c>
      <c r="AG182" s="65">
        <v>2009</v>
      </c>
      <c r="AH182" s="65">
        <v>2709</v>
      </c>
      <c r="AI182" s="65">
        <v>2552</v>
      </c>
      <c r="AJ182" s="65">
        <v>3387</v>
      </c>
      <c r="AK182" s="196"/>
      <c r="AL182" s="66"/>
      <c r="AM182" s="270">
        <v>812</v>
      </c>
      <c r="AN182" s="65">
        <v>601</v>
      </c>
      <c r="AO182" s="65">
        <v>561</v>
      </c>
      <c r="AP182" s="65">
        <v>550</v>
      </c>
      <c r="AQ182" s="65">
        <v>537</v>
      </c>
      <c r="AR182" s="196"/>
      <c r="AS182" s="66"/>
      <c r="AT182" s="276">
        <f t="shared" si="102"/>
        <v>0.38446969696969696</v>
      </c>
      <c r="AU182" s="67">
        <f t="shared" si="103"/>
        <v>0.29915380786460927</v>
      </c>
      <c r="AV182" s="67">
        <f t="shared" si="104"/>
        <v>0.20708748615725359</v>
      </c>
      <c r="AW182" s="67">
        <f t="shared" si="105"/>
        <v>0.21551724137931033</v>
      </c>
      <c r="AX182" s="67">
        <f t="shared" si="106"/>
        <v>0.15854738706820196</v>
      </c>
      <c r="AY182" s="190"/>
      <c r="AZ182" s="68"/>
      <c r="BA182" s="276" t="s">
        <v>226</v>
      </c>
      <c r="BB182" s="69">
        <f t="shared" si="108"/>
        <v>-8.5315889105087699</v>
      </c>
      <c r="BC182" s="69">
        <f t="shared" si="108"/>
        <v>-17.738221081244337</v>
      </c>
      <c r="BD182" s="69">
        <f t="shared" si="99"/>
        <v>-16.895245559038663</v>
      </c>
      <c r="BE182" s="69">
        <f t="shared" si="100"/>
        <v>-22.592230990149499</v>
      </c>
      <c r="BF182" s="199"/>
      <c r="BG182" s="70"/>
      <c r="BH182" s="60" t="s">
        <v>226</v>
      </c>
      <c r="BI182" s="71">
        <f t="shared" si="94"/>
        <v>-8.5315889105087699</v>
      </c>
      <c r="BJ182" s="71">
        <f t="shared" si="95"/>
        <v>-9.2066321707355687</v>
      </c>
      <c r="BK182" s="71">
        <f t="shared" si="96"/>
        <v>0.84297552220567451</v>
      </c>
      <c r="BL182" s="71">
        <f t="shared" si="97"/>
        <v>-5.6969854311108374</v>
      </c>
      <c r="BM182" s="200"/>
      <c r="BN182" s="72"/>
      <c r="BO182" s="276">
        <f t="shared" si="109"/>
        <v>0</v>
      </c>
      <c r="BP182" s="67">
        <f t="shared" si="109"/>
        <v>0</v>
      </c>
      <c r="BQ182" s="67">
        <f t="shared" si="109"/>
        <v>0</v>
      </c>
      <c r="BR182" s="190"/>
      <c r="BS182" s="190"/>
      <c r="BT182" s="73"/>
      <c r="BU182" s="73"/>
    </row>
    <row r="183" spans="1:73" s="14" customFormat="1" x14ac:dyDescent="0.25">
      <c r="A183" s="13"/>
      <c r="B183" s="59" t="s">
        <v>279</v>
      </c>
      <c r="C183" s="60">
        <v>0</v>
      </c>
      <c r="D183" s="61">
        <v>0</v>
      </c>
      <c r="E183" s="61">
        <v>0</v>
      </c>
      <c r="F183" s="145">
        <v>0</v>
      </c>
      <c r="G183" s="62">
        <v>0</v>
      </c>
      <c r="H183" s="60">
        <v>158</v>
      </c>
      <c r="I183" s="61">
        <v>157</v>
      </c>
      <c r="J183" s="61">
        <v>156</v>
      </c>
      <c r="K183" s="145">
        <v>160</v>
      </c>
      <c r="L183" s="62">
        <v>174</v>
      </c>
      <c r="M183" s="60">
        <v>67</v>
      </c>
      <c r="N183" s="61">
        <v>67</v>
      </c>
      <c r="O183" s="61">
        <v>57</v>
      </c>
      <c r="P183" s="145">
        <v>60</v>
      </c>
      <c r="Q183" s="62">
        <v>90</v>
      </c>
      <c r="R183" s="60">
        <v>9</v>
      </c>
      <c r="S183" s="61">
        <v>12</v>
      </c>
      <c r="T183" s="61">
        <v>0</v>
      </c>
      <c r="U183" s="61">
        <v>0</v>
      </c>
      <c r="V183" s="61">
        <v>2</v>
      </c>
      <c r="W183" s="145">
        <v>3</v>
      </c>
      <c r="X183" s="62">
        <v>10</v>
      </c>
      <c r="Y183" s="85">
        <v>18</v>
      </c>
      <c r="Z183" s="61">
        <v>18.739999999999998</v>
      </c>
      <c r="AA183" s="61">
        <v>28.46</v>
      </c>
      <c r="AB183" s="145">
        <v>22.68</v>
      </c>
      <c r="AC183" s="61">
        <v>22.68</v>
      </c>
      <c r="AD183" s="152">
        <v>26.4</v>
      </c>
      <c r="AE183" s="64">
        <v>29</v>
      </c>
      <c r="AF183" s="270">
        <v>33334</v>
      </c>
      <c r="AG183" s="65">
        <v>37059</v>
      </c>
      <c r="AH183" s="65">
        <v>40830</v>
      </c>
      <c r="AI183" s="65">
        <v>40869</v>
      </c>
      <c r="AJ183" s="65">
        <v>36384</v>
      </c>
      <c r="AK183" s="196">
        <v>39040.129999999997</v>
      </c>
      <c r="AL183" s="66">
        <v>43991.44</v>
      </c>
      <c r="AM183" s="270">
        <v>3881</v>
      </c>
      <c r="AN183" s="65">
        <v>3642</v>
      </c>
      <c r="AO183" s="65">
        <v>3386</v>
      </c>
      <c r="AP183" s="65">
        <v>4521</v>
      </c>
      <c r="AQ183" s="65">
        <v>4836</v>
      </c>
      <c r="AR183" s="196">
        <v>4404.34</v>
      </c>
      <c r="AS183" s="66">
        <v>14158.38</v>
      </c>
      <c r="AT183" s="276">
        <f t="shared" si="102"/>
        <v>0.11642767144657107</v>
      </c>
      <c r="AU183" s="67">
        <f t="shared" si="103"/>
        <v>9.8275722496559539E-2</v>
      </c>
      <c r="AV183" s="67">
        <f t="shared" si="104"/>
        <v>8.2929218711731575E-2</v>
      </c>
      <c r="AW183" s="67">
        <f t="shared" si="105"/>
        <v>0.11062174264112164</v>
      </c>
      <c r="AX183" s="67">
        <f t="shared" si="106"/>
        <v>0.1329155672823219</v>
      </c>
      <c r="AY183" s="190">
        <f t="shared" si="83"/>
        <v>0.11281571039850534</v>
      </c>
      <c r="AZ183" s="68">
        <f t="shared" si="84"/>
        <v>0.32184397691914607</v>
      </c>
      <c r="BA183" s="276" t="s">
        <v>226</v>
      </c>
      <c r="BB183" s="69">
        <f t="shared" si="108"/>
        <v>-1.8151948950011529</v>
      </c>
      <c r="BC183" s="69">
        <f t="shared" si="108"/>
        <v>-3.3498452734839494</v>
      </c>
      <c r="BD183" s="69">
        <f t="shared" si="99"/>
        <v>-0.58059288054494318</v>
      </c>
      <c r="BE183" s="69">
        <f t="shared" si="100"/>
        <v>1.6487895835750832</v>
      </c>
      <c r="BF183" s="199">
        <f t="shared" si="88"/>
        <v>-0.36119610480657288</v>
      </c>
      <c r="BG183" s="70">
        <f t="shared" si="85"/>
        <v>20.541630547257501</v>
      </c>
      <c r="BH183" s="60" t="s">
        <v>226</v>
      </c>
      <c r="BI183" s="71">
        <f t="shared" si="94"/>
        <v>-1.8151948950011529</v>
      </c>
      <c r="BJ183" s="71">
        <f t="shared" si="95"/>
        <v>-1.5346503784827963</v>
      </c>
      <c r="BK183" s="71">
        <f t="shared" si="96"/>
        <v>2.769252392939006</v>
      </c>
      <c r="BL183" s="71">
        <f t="shared" si="97"/>
        <v>2.2293824641200262</v>
      </c>
      <c r="BM183" s="200">
        <f t="shared" si="89"/>
        <v>-2.009985688381656</v>
      </c>
      <c r="BN183" s="72">
        <f t="shared" si="86"/>
        <v>20.902826652064071</v>
      </c>
      <c r="BO183" s="276">
        <f t="shared" si="109"/>
        <v>0</v>
      </c>
      <c r="BP183" s="67">
        <f t="shared" si="109"/>
        <v>0</v>
      </c>
      <c r="BQ183" s="67">
        <f t="shared" si="109"/>
        <v>3.5087719298245612E-2</v>
      </c>
      <c r="BR183" s="190">
        <f>W183/P183</f>
        <v>0.05</v>
      </c>
      <c r="BS183" s="190">
        <f>X183/Q183</f>
        <v>0.1111111111111111</v>
      </c>
      <c r="BT183" s="73">
        <f t="shared" si="87"/>
        <v>9.848484848484855E-2</v>
      </c>
      <c r="BU183" s="73">
        <f>(Q183-P183)/P183</f>
        <v>0.5</v>
      </c>
    </row>
    <row r="184" spans="1:73" s="14" customFormat="1" x14ac:dyDescent="0.25">
      <c r="A184" s="13"/>
      <c r="B184" s="59" t="s">
        <v>336</v>
      </c>
      <c r="C184" s="60"/>
      <c r="D184" s="61"/>
      <c r="E184" s="61"/>
      <c r="F184" s="145">
        <v>6</v>
      </c>
      <c r="G184" s="62">
        <v>0</v>
      </c>
      <c r="H184" s="60"/>
      <c r="I184" s="61"/>
      <c r="J184" s="61"/>
      <c r="K184" s="145">
        <v>71</v>
      </c>
      <c r="L184" s="62">
        <v>72</v>
      </c>
      <c r="M184" s="60"/>
      <c r="N184" s="61"/>
      <c r="O184" s="61"/>
      <c r="P184" s="145">
        <v>21</v>
      </c>
      <c r="Q184" s="62">
        <v>9</v>
      </c>
      <c r="R184" s="60"/>
      <c r="S184" s="61"/>
      <c r="T184" s="61"/>
      <c r="U184" s="61"/>
      <c r="V184" s="61"/>
      <c r="W184" s="145">
        <v>0</v>
      </c>
      <c r="X184" s="62">
        <v>0</v>
      </c>
      <c r="Y184" s="85"/>
      <c r="Z184" s="61"/>
      <c r="AA184" s="61"/>
      <c r="AB184" s="145"/>
      <c r="AC184" s="61"/>
      <c r="AD184" s="152" t="s">
        <v>337</v>
      </c>
      <c r="AE184" s="152" t="s">
        <v>337</v>
      </c>
      <c r="AF184" s="270"/>
      <c r="AG184" s="65"/>
      <c r="AH184" s="65"/>
      <c r="AI184" s="65"/>
      <c r="AJ184" s="65"/>
      <c r="AK184" s="196">
        <v>7924</v>
      </c>
      <c r="AL184" s="66">
        <v>7831</v>
      </c>
      <c r="AM184" s="270"/>
      <c r="AN184" s="65"/>
      <c r="AO184" s="65"/>
      <c r="AP184" s="65"/>
      <c r="AQ184" s="65"/>
      <c r="AR184" s="196">
        <v>2063</v>
      </c>
      <c r="AS184" s="66">
        <v>988</v>
      </c>
      <c r="AT184" s="276"/>
      <c r="AU184" s="67"/>
      <c r="AV184" s="67"/>
      <c r="AW184" s="67"/>
      <c r="AX184" s="67"/>
      <c r="AY184" s="190">
        <f t="shared" si="83"/>
        <v>0.26034830893488137</v>
      </c>
      <c r="AZ184" s="68">
        <f t="shared" si="84"/>
        <v>0.12616524070999871</v>
      </c>
      <c r="BA184" s="276"/>
      <c r="BB184" s="69"/>
      <c r="BC184" s="69"/>
      <c r="BD184" s="69"/>
      <c r="BE184" s="69"/>
      <c r="BF184" s="199"/>
      <c r="BG184" s="70"/>
      <c r="BH184" s="60"/>
      <c r="BI184" s="71"/>
      <c r="BJ184" s="71"/>
      <c r="BK184" s="71"/>
      <c r="BL184" s="71"/>
      <c r="BM184" s="200"/>
      <c r="BN184" s="72">
        <f t="shared" si="86"/>
        <v>-13.418306822488265</v>
      </c>
      <c r="BO184" s="276"/>
      <c r="BP184" s="67"/>
      <c r="BQ184" s="67"/>
      <c r="BR184" s="190">
        <f>W184/P184</f>
        <v>0</v>
      </c>
      <c r="BS184" s="190">
        <f>X184/Q184</f>
        <v>0</v>
      </c>
      <c r="BT184" s="73"/>
      <c r="BU184" s="73">
        <f>(Q184-P184)/P184</f>
        <v>-0.5714285714285714</v>
      </c>
    </row>
    <row r="185" spans="1:73" s="14" customFormat="1" x14ac:dyDescent="0.25">
      <c r="A185" s="13"/>
      <c r="B185" s="59" t="s">
        <v>280</v>
      </c>
      <c r="C185" s="60">
        <v>0</v>
      </c>
      <c r="D185" s="61">
        <v>0</v>
      </c>
      <c r="E185" s="61">
        <v>0</v>
      </c>
      <c r="F185" s="145"/>
      <c r="G185" s="62">
        <v>9</v>
      </c>
      <c r="H185" s="60">
        <v>132</v>
      </c>
      <c r="I185" s="61">
        <v>130</v>
      </c>
      <c r="J185" s="61">
        <v>132</v>
      </c>
      <c r="K185" s="145"/>
      <c r="L185" s="62">
        <v>101</v>
      </c>
      <c r="M185" s="60">
        <v>20</v>
      </c>
      <c r="N185" s="61">
        <v>28</v>
      </c>
      <c r="O185" s="61">
        <v>39</v>
      </c>
      <c r="P185" s="145"/>
      <c r="Q185" s="62">
        <v>30</v>
      </c>
      <c r="R185" s="60">
        <v>9</v>
      </c>
      <c r="S185" s="61">
        <v>4</v>
      </c>
      <c r="T185" s="61">
        <v>0</v>
      </c>
      <c r="U185" s="61">
        <v>0</v>
      </c>
      <c r="V185" s="61">
        <v>10</v>
      </c>
      <c r="W185" s="145"/>
      <c r="X185" s="62">
        <v>10</v>
      </c>
      <c r="Y185" s="60">
        <v>13.37</v>
      </c>
      <c r="Z185" s="61">
        <v>24.2</v>
      </c>
      <c r="AA185" s="61">
        <v>33.409999999999997</v>
      </c>
      <c r="AB185" s="145">
        <v>33.409999999999997</v>
      </c>
      <c r="AC185" s="61">
        <v>33.409999999999997</v>
      </c>
      <c r="AD185" s="152"/>
      <c r="AE185" s="64">
        <v>39.5</v>
      </c>
      <c r="AF185" s="270">
        <v>13142</v>
      </c>
      <c r="AG185" s="65">
        <v>18334</v>
      </c>
      <c r="AH185" s="65">
        <v>26535</v>
      </c>
      <c r="AI185" s="65">
        <v>38664</v>
      </c>
      <c r="AJ185" s="65">
        <v>36231</v>
      </c>
      <c r="AK185" s="196"/>
      <c r="AL185" s="66">
        <v>36303.599999999999</v>
      </c>
      <c r="AM185" s="270">
        <v>336</v>
      </c>
      <c r="AN185" s="65">
        <v>435</v>
      </c>
      <c r="AO185" s="65">
        <v>1699</v>
      </c>
      <c r="AP185" s="65">
        <v>6227</v>
      </c>
      <c r="AQ185" s="65">
        <v>8378</v>
      </c>
      <c r="AR185" s="196"/>
      <c r="AS185" s="66">
        <v>6293.05</v>
      </c>
      <c r="AT185" s="276">
        <f t="shared" si="102"/>
        <v>2.5566884796834576E-2</v>
      </c>
      <c r="AU185" s="67">
        <f t="shared" si="103"/>
        <v>2.3726409948729137E-2</v>
      </c>
      <c r="AV185" s="67">
        <f t="shared" si="104"/>
        <v>6.4028641416996421E-2</v>
      </c>
      <c r="AW185" s="67">
        <f t="shared" si="105"/>
        <v>0.16105421063521622</v>
      </c>
      <c r="AX185" s="67">
        <f t="shared" si="106"/>
        <v>0.23123844221799011</v>
      </c>
      <c r="AY185" s="190"/>
      <c r="AZ185" s="68">
        <f t="shared" si="84"/>
        <v>0.1733450677067839</v>
      </c>
      <c r="BA185" s="276" t="s">
        <v>226</v>
      </c>
      <c r="BB185" s="69">
        <f>(AU185-$AT185)*100</f>
        <v>-0.18404748481054384</v>
      </c>
      <c r="BC185" s="69">
        <f>(AV185-$AT185)*100</f>
        <v>3.8461756620161847</v>
      </c>
      <c r="BD185" s="69">
        <f t="shared" si="99"/>
        <v>13.548732583838163</v>
      </c>
      <c r="BE185" s="69">
        <f t="shared" si="100"/>
        <v>20.567155742115553</v>
      </c>
      <c r="BF185" s="199"/>
      <c r="BG185" s="70">
        <f t="shared" si="85"/>
        <v>14.777818290994931</v>
      </c>
      <c r="BH185" s="60" t="s">
        <v>226</v>
      </c>
      <c r="BI185" s="71">
        <f t="shared" si="94"/>
        <v>-0.18404748481054384</v>
      </c>
      <c r="BJ185" s="71">
        <f t="shared" si="95"/>
        <v>4.030223146826728</v>
      </c>
      <c r="BK185" s="71">
        <f t="shared" si="96"/>
        <v>9.70255692182198</v>
      </c>
      <c r="BL185" s="71">
        <f t="shared" si="97"/>
        <v>7.0184231582773897</v>
      </c>
      <c r="BM185" s="200"/>
      <c r="BN185" s="72"/>
      <c r="BO185" s="276">
        <f>T185/M185</f>
        <v>0</v>
      </c>
      <c r="BP185" s="67">
        <f>U185/N185</f>
        <v>0</v>
      </c>
      <c r="BQ185" s="67">
        <f>V185/O185</f>
        <v>0.25641025641025639</v>
      </c>
      <c r="BR185" s="190"/>
      <c r="BS185" s="190">
        <f>X185/Q185</f>
        <v>0.33333333333333331</v>
      </c>
      <c r="BT185" s="73"/>
      <c r="BU185" s="73"/>
    </row>
    <row r="186" spans="1:73" x14ac:dyDescent="0.25">
      <c r="A186" s="15">
        <v>88</v>
      </c>
      <c r="B186" s="74" t="s">
        <v>51</v>
      </c>
      <c r="C186" s="246"/>
      <c r="D186" s="75"/>
      <c r="E186" s="75"/>
      <c r="F186" s="146"/>
      <c r="G186" s="76"/>
      <c r="H186" s="246"/>
      <c r="I186" s="75"/>
      <c r="J186" s="75"/>
      <c r="K186" s="146"/>
      <c r="L186" s="76"/>
      <c r="M186" s="246"/>
      <c r="N186" s="75"/>
      <c r="O186" s="75"/>
      <c r="P186" s="146"/>
      <c r="Q186" s="76"/>
      <c r="R186" s="246"/>
      <c r="S186" s="75"/>
      <c r="T186" s="75"/>
      <c r="U186" s="75"/>
      <c r="V186" s="75"/>
      <c r="W186" s="146"/>
      <c r="X186" s="76"/>
      <c r="Y186" s="246"/>
      <c r="Z186" s="75"/>
      <c r="AA186" s="75"/>
      <c r="AB186" s="146"/>
      <c r="AC186" s="75"/>
      <c r="AD186" s="258"/>
      <c r="AE186" s="160"/>
      <c r="AF186" s="271"/>
      <c r="AG186" s="77"/>
      <c r="AH186" s="77"/>
      <c r="AI186" s="77"/>
      <c r="AJ186" s="77"/>
      <c r="AK186" s="265"/>
      <c r="AL186" s="78"/>
      <c r="AM186" s="271"/>
      <c r="AN186" s="77"/>
      <c r="AO186" s="77"/>
      <c r="AP186" s="77"/>
      <c r="AQ186" s="77"/>
      <c r="AR186" s="265"/>
      <c r="AS186" s="78"/>
      <c r="AT186" s="277"/>
      <c r="AU186" s="79"/>
      <c r="AV186" s="79"/>
      <c r="AW186" s="79"/>
      <c r="AX186" s="79"/>
      <c r="AY186" s="274"/>
      <c r="AZ186" s="80"/>
      <c r="BA186" s="277" t="s">
        <v>226</v>
      </c>
      <c r="BB186" s="81"/>
      <c r="BC186" s="81"/>
      <c r="BD186" s="81"/>
      <c r="BE186" s="81"/>
      <c r="BF186" s="282"/>
      <c r="BG186" s="82"/>
      <c r="BH186" s="246" t="s">
        <v>226</v>
      </c>
      <c r="BI186" s="83"/>
      <c r="BJ186" s="83"/>
      <c r="BK186" s="83"/>
      <c r="BL186" s="83"/>
      <c r="BM186" s="286"/>
      <c r="BN186" s="84"/>
      <c r="BO186" s="277"/>
      <c r="BP186" s="79"/>
      <c r="BQ186" s="79"/>
      <c r="BR186" s="274"/>
      <c r="BS186" s="274"/>
      <c r="BT186" s="419"/>
      <c r="BU186" s="419"/>
    </row>
    <row r="187" spans="1:73" x14ac:dyDescent="0.25">
      <c r="A187" s="15">
        <v>89</v>
      </c>
      <c r="B187" s="74" t="s">
        <v>52</v>
      </c>
      <c r="C187" s="246"/>
      <c r="D187" s="75"/>
      <c r="E187" s="75"/>
      <c r="F187" s="146"/>
      <c r="G187" s="76"/>
      <c r="H187" s="246"/>
      <c r="I187" s="75"/>
      <c r="J187" s="75"/>
      <c r="K187" s="146"/>
      <c r="L187" s="76"/>
      <c r="M187" s="246"/>
      <c r="N187" s="75"/>
      <c r="O187" s="75"/>
      <c r="P187" s="146"/>
      <c r="Q187" s="76"/>
      <c r="R187" s="246"/>
      <c r="S187" s="75"/>
      <c r="T187" s="75"/>
      <c r="U187" s="75"/>
      <c r="V187" s="75"/>
      <c r="W187" s="146"/>
      <c r="X187" s="76"/>
      <c r="Y187" s="246"/>
      <c r="Z187" s="75"/>
      <c r="AA187" s="75"/>
      <c r="AB187" s="146"/>
      <c r="AC187" s="75"/>
      <c r="AD187" s="258"/>
      <c r="AE187" s="160"/>
      <c r="AF187" s="271"/>
      <c r="AG187" s="77"/>
      <c r="AH187" s="77"/>
      <c r="AI187" s="77"/>
      <c r="AJ187" s="77"/>
      <c r="AK187" s="265"/>
      <c r="AL187" s="78"/>
      <c r="AM187" s="271"/>
      <c r="AN187" s="77"/>
      <c r="AO187" s="77"/>
      <c r="AP187" s="77"/>
      <c r="AQ187" s="77"/>
      <c r="AR187" s="265"/>
      <c r="AS187" s="78"/>
      <c r="AT187" s="277"/>
      <c r="AU187" s="79"/>
      <c r="AV187" s="79"/>
      <c r="AW187" s="79"/>
      <c r="AX187" s="79"/>
      <c r="AY187" s="274"/>
      <c r="AZ187" s="80"/>
      <c r="BA187" s="277" t="s">
        <v>226</v>
      </c>
      <c r="BB187" s="81"/>
      <c r="BC187" s="81"/>
      <c r="BD187" s="81"/>
      <c r="BE187" s="81"/>
      <c r="BF187" s="282"/>
      <c r="BG187" s="82"/>
      <c r="BH187" s="246" t="s">
        <v>226</v>
      </c>
      <c r="BI187" s="83"/>
      <c r="BJ187" s="83"/>
      <c r="BK187" s="83"/>
      <c r="BL187" s="83"/>
      <c r="BM187" s="286"/>
      <c r="BN187" s="84"/>
      <c r="BO187" s="277"/>
      <c r="BP187" s="79"/>
      <c r="BQ187" s="79"/>
      <c r="BR187" s="274"/>
      <c r="BS187" s="274"/>
      <c r="BT187" s="419"/>
      <c r="BU187" s="419"/>
    </row>
    <row r="188" spans="1:73" s="9" customFormat="1" x14ac:dyDescent="0.25">
      <c r="A188" s="12">
        <v>90</v>
      </c>
      <c r="B188" s="17" t="s">
        <v>256</v>
      </c>
      <c r="C188" s="2">
        <v>9</v>
      </c>
      <c r="D188" s="3">
        <v>11</v>
      </c>
      <c r="E188" s="3">
        <v>13</v>
      </c>
      <c r="F188" s="144">
        <v>21</v>
      </c>
      <c r="G188" s="4">
        <v>22</v>
      </c>
      <c r="H188" s="2">
        <v>2513</v>
      </c>
      <c r="I188" s="3">
        <v>2488</v>
      </c>
      <c r="J188" s="3">
        <v>2473</v>
      </c>
      <c r="K188" s="144">
        <v>2000</v>
      </c>
      <c r="L188" s="4">
        <v>1958</v>
      </c>
      <c r="M188" s="2">
        <v>567</v>
      </c>
      <c r="N188" s="3">
        <v>740</v>
      </c>
      <c r="O188" s="3">
        <v>798</v>
      </c>
      <c r="P188" s="144">
        <v>663</v>
      </c>
      <c r="Q188" s="4">
        <v>650</v>
      </c>
      <c r="R188" s="2">
        <v>1</v>
      </c>
      <c r="S188" s="3">
        <v>0</v>
      </c>
      <c r="T188" s="3">
        <v>2</v>
      </c>
      <c r="U188" s="3">
        <v>10</v>
      </c>
      <c r="V188" s="3">
        <v>46</v>
      </c>
      <c r="W188" s="144">
        <v>82</v>
      </c>
      <c r="X188" s="4">
        <v>50</v>
      </c>
      <c r="Y188" s="2">
        <v>29.12</v>
      </c>
      <c r="Z188" s="3">
        <v>34.74</v>
      </c>
      <c r="AA188" s="3">
        <v>48.41</v>
      </c>
      <c r="AB188" s="144">
        <v>48.81</v>
      </c>
      <c r="AC188" s="3">
        <v>58.12</v>
      </c>
      <c r="AD188" s="153">
        <v>46.33</v>
      </c>
      <c r="AE188" s="86">
        <v>46.33</v>
      </c>
      <c r="AF188" s="19">
        <v>65336</v>
      </c>
      <c r="AG188" s="20">
        <v>694027</v>
      </c>
      <c r="AH188" s="20">
        <v>871699</v>
      </c>
      <c r="AI188" s="20">
        <v>1066215</v>
      </c>
      <c r="AJ188" s="20">
        <v>1016533</v>
      </c>
      <c r="AK188" s="210">
        <v>1089220</v>
      </c>
      <c r="AL188" s="21">
        <v>1058542</v>
      </c>
      <c r="AM188" s="19">
        <v>2644</v>
      </c>
      <c r="AN188" s="20">
        <v>8216</v>
      </c>
      <c r="AO188" s="20">
        <v>22508</v>
      </c>
      <c r="AP188" s="20">
        <v>90248</v>
      </c>
      <c r="AQ188" s="20">
        <v>83010</v>
      </c>
      <c r="AR188" s="210">
        <v>166508</v>
      </c>
      <c r="AS188" s="21">
        <v>170340</v>
      </c>
      <c r="AT188" s="50">
        <f>AM188/AF188</f>
        <v>4.0467736010775072E-2</v>
      </c>
      <c r="AU188" s="51">
        <f>AN188/AG188</f>
        <v>1.1838156152426347E-2</v>
      </c>
      <c r="AV188" s="51">
        <f>AO188/AH188</f>
        <v>2.5820839532912164E-2</v>
      </c>
      <c r="AW188" s="51">
        <f>AP188/AI188</f>
        <v>8.4643341164774455E-2</v>
      </c>
      <c r="AX188" s="51">
        <f>AQ188/AJ188</f>
        <v>8.1659916598870869E-2</v>
      </c>
      <c r="AY188" s="211">
        <f t="shared" si="83"/>
        <v>0.15286902554121298</v>
      </c>
      <c r="AZ188" s="52">
        <f t="shared" si="84"/>
        <v>0.16091945336132152</v>
      </c>
      <c r="BA188" s="50" t="s">
        <v>226</v>
      </c>
      <c r="BB188" s="53">
        <f>(AU188-$AT188)*100</f>
        <v>-2.8629579858348726</v>
      </c>
      <c r="BC188" s="53">
        <f>(AV188-$AT188)*100</f>
        <v>-1.4646896477862907</v>
      </c>
      <c r="BD188" s="53">
        <f>(AW188-$AT188)*100</f>
        <v>4.4175605153999387</v>
      </c>
      <c r="BE188" s="53">
        <f>(AX188-$AT188)*100</f>
        <v>4.1192180588095795</v>
      </c>
      <c r="BF188" s="212">
        <f t="shared" si="88"/>
        <v>11.24012895304379</v>
      </c>
      <c r="BG188" s="54">
        <f t="shared" si="85"/>
        <v>12.045171735054645</v>
      </c>
      <c r="BH188" s="2" t="s">
        <v>226</v>
      </c>
      <c r="BI188" s="55">
        <f>(AU188-AT188)*100</f>
        <v>-2.8629579858348726</v>
      </c>
      <c r="BJ188" s="55">
        <f>(AV188-AU188)*100</f>
        <v>1.3982683380485816</v>
      </c>
      <c r="BK188" s="55">
        <f>(AW188-AV188)*100</f>
        <v>5.882250163186229</v>
      </c>
      <c r="BL188" s="55">
        <f>(AX188-AW188)*100</f>
        <v>-0.29834245659035863</v>
      </c>
      <c r="BM188" s="213">
        <f t="shared" si="89"/>
        <v>7.1209108942342114</v>
      </c>
      <c r="BN188" s="56">
        <f t="shared" si="86"/>
        <v>0.80504278201085355</v>
      </c>
      <c r="BO188" s="50">
        <f t="shared" ref="BO188:BS189" si="110">T188/M188</f>
        <v>3.5273368606701938E-3</v>
      </c>
      <c r="BP188" s="51">
        <f t="shared" si="110"/>
        <v>1.3513513513513514E-2</v>
      </c>
      <c r="BQ188" s="51">
        <f t="shared" si="110"/>
        <v>5.764411027568922E-2</v>
      </c>
      <c r="BR188" s="211">
        <f t="shared" si="110"/>
        <v>0.12368024132730016</v>
      </c>
      <c r="BS188" s="211">
        <f t="shared" si="110"/>
        <v>7.6923076923076927E-2</v>
      </c>
      <c r="BT188" s="57">
        <f t="shared" si="87"/>
        <v>0</v>
      </c>
      <c r="BU188" s="57">
        <f>(Q188-P188)/P188</f>
        <v>-1.9607843137254902E-2</v>
      </c>
    </row>
    <row r="189" spans="1:73" s="14" customFormat="1" x14ac:dyDescent="0.25">
      <c r="A189" s="13">
        <v>91</v>
      </c>
      <c r="B189" s="59" t="s">
        <v>53</v>
      </c>
      <c r="C189" s="60">
        <v>0</v>
      </c>
      <c r="D189" s="61">
        <v>0</v>
      </c>
      <c r="E189" s="61">
        <v>0</v>
      </c>
      <c r="F189" s="145">
        <v>0</v>
      </c>
      <c r="G189" s="62">
        <v>0</v>
      </c>
      <c r="H189" s="60">
        <v>76</v>
      </c>
      <c r="I189" s="61">
        <v>76</v>
      </c>
      <c r="J189" s="61">
        <v>76</v>
      </c>
      <c r="K189" s="145">
        <v>77</v>
      </c>
      <c r="L189" s="62">
        <v>76</v>
      </c>
      <c r="M189" s="60">
        <v>8</v>
      </c>
      <c r="N189" s="61">
        <v>12</v>
      </c>
      <c r="O189" s="61">
        <v>15</v>
      </c>
      <c r="P189" s="145">
        <v>8</v>
      </c>
      <c r="Q189" s="62">
        <v>13</v>
      </c>
      <c r="R189" s="60">
        <v>1</v>
      </c>
      <c r="S189" s="61">
        <v>0</v>
      </c>
      <c r="T189" s="61">
        <v>0</v>
      </c>
      <c r="U189" s="61">
        <v>1</v>
      </c>
      <c r="V189" s="61">
        <v>1</v>
      </c>
      <c r="W189" s="145">
        <v>3</v>
      </c>
      <c r="X189" s="62">
        <v>2</v>
      </c>
      <c r="Y189" s="85">
        <v>9.3000000000000007</v>
      </c>
      <c r="Z189" s="63">
        <v>11.1</v>
      </c>
      <c r="AA189" s="63">
        <v>14.8</v>
      </c>
      <c r="AB189" s="152">
        <v>16.5</v>
      </c>
      <c r="AC189" s="63">
        <v>16.5</v>
      </c>
      <c r="AD189" s="152">
        <v>16.5</v>
      </c>
      <c r="AE189" s="152">
        <v>16.5</v>
      </c>
      <c r="AF189" s="270">
        <v>13916.33</v>
      </c>
      <c r="AG189" s="65">
        <v>16341.35</v>
      </c>
      <c r="AH189" s="65">
        <v>20431.599999999999</v>
      </c>
      <c r="AI189" s="65">
        <v>25307.05</v>
      </c>
      <c r="AJ189" s="65">
        <v>25164.36</v>
      </c>
      <c r="AK189" s="196">
        <v>24158.61</v>
      </c>
      <c r="AL189" s="66">
        <v>22964.6</v>
      </c>
      <c r="AM189" s="270">
        <v>27.36</v>
      </c>
      <c r="AN189" s="65">
        <v>0</v>
      </c>
      <c r="AO189" s="65">
        <v>184.53</v>
      </c>
      <c r="AP189" s="65">
        <v>3233.6</v>
      </c>
      <c r="AQ189" s="65">
        <v>1637.44</v>
      </c>
      <c r="AR189" s="196">
        <v>4733.4399999999996</v>
      </c>
      <c r="AS189" s="66">
        <v>5757.02</v>
      </c>
      <c r="AT189" s="276">
        <f t="shared" si="102"/>
        <v>1.96603558553153E-3</v>
      </c>
      <c r="AU189" s="67">
        <f t="shared" ref="AU189" si="111">AN189/AG189</f>
        <v>0</v>
      </c>
      <c r="AV189" s="67">
        <f t="shared" ref="AV189" si="112">AO189/AH189</f>
        <v>9.0315981127273449E-3</v>
      </c>
      <c r="AW189" s="67">
        <f t="shared" ref="AW189" si="113">AP189/AI189</f>
        <v>0.12777467148482341</v>
      </c>
      <c r="AX189" s="67">
        <f t="shared" ref="AX189" si="114">AQ189/AJ189</f>
        <v>6.5069805073524625E-2</v>
      </c>
      <c r="AY189" s="190">
        <f t="shared" ref="AY189" si="115">AR189/AK189</f>
        <v>0.19593180236776866</v>
      </c>
      <c r="AZ189" s="68">
        <f t="shared" si="84"/>
        <v>0.25069106363707622</v>
      </c>
      <c r="BA189" s="276" t="s">
        <v>226</v>
      </c>
      <c r="BB189" s="69">
        <f>(AU189-$AT189)*100</f>
        <v>-0.19660355855315301</v>
      </c>
      <c r="BC189" s="69">
        <f>(AV189-$AT189)*100</f>
        <v>0.70655625271958145</v>
      </c>
      <c r="BD189" s="69">
        <f t="shared" si="99"/>
        <v>12.580863589929189</v>
      </c>
      <c r="BE189" s="69">
        <f t="shared" si="100"/>
        <v>6.3103769487993091</v>
      </c>
      <c r="BF189" s="199">
        <f t="shared" si="88"/>
        <v>19.396576678223713</v>
      </c>
      <c r="BG189" s="70">
        <f t="shared" si="85"/>
        <v>24.872502805154468</v>
      </c>
      <c r="BH189" s="60" t="s">
        <v>226</v>
      </c>
      <c r="BI189" s="71">
        <f t="shared" si="94"/>
        <v>-0.19660355855315301</v>
      </c>
      <c r="BJ189" s="71">
        <f t="shared" si="95"/>
        <v>0.90315981127273448</v>
      </c>
      <c r="BK189" s="71">
        <f t="shared" si="96"/>
        <v>11.874307337209606</v>
      </c>
      <c r="BL189" s="71">
        <f t="shared" si="97"/>
        <v>-6.2704866411298781</v>
      </c>
      <c r="BM189" s="200">
        <f t="shared" si="89"/>
        <v>13.086199729424402</v>
      </c>
      <c r="BN189" s="72">
        <f t="shared" si="86"/>
        <v>5.4759261269307551</v>
      </c>
      <c r="BO189" s="276">
        <f t="shared" si="110"/>
        <v>0</v>
      </c>
      <c r="BP189" s="67">
        <f t="shared" si="110"/>
        <v>8.3333333333333329E-2</v>
      </c>
      <c r="BQ189" s="67">
        <f t="shared" si="110"/>
        <v>6.6666666666666666E-2</v>
      </c>
      <c r="BR189" s="190">
        <f t="shared" si="110"/>
        <v>0.375</v>
      </c>
      <c r="BS189" s="190">
        <f t="shared" si="110"/>
        <v>0.15384615384615385</v>
      </c>
      <c r="BT189" s="73">
        <f t="shared" si="87"/>
        <v>0</v>
      </c>
      <c r="BU189" s="73">
        <f>(Q189-P189)/P189</f>
        <v>0.625</v>
      </c>
    </row>
    <row r="190" spans="1:73" s="14" customFormat="1" x14ac:dyDescent="0.25">
      <c r="A190" s="13">
        <v>92</v>
      </c>
      <c r="B190" s="59" t="s">
        <v>54</v>
      </c>
      <c r="C190" s="60"/>
      <c r="D190" s="61"/>
      <c r="E190" s="61"/>
      <c r="F190" s="145">
        <v>0</v>
      </c>
      <c r="G190" s="62"/>
      <c r="H190" s="60"/>
      <c r="I190" s="61"/>
      <c r="J190" s="61"/>
      <c r="K190" s="145">
        <v>314</v>
      </c>
      <c r="L190" s="62"/>
      <c r="M190" s="60"/>
      <c r="N190" s="61"/>
      <c r="O190" s="61"/>
      <c r="P190" s="145">
        <v>90</v>
      </c>
      <c r="Q190" s="62"/>
      <c r="R190" s="60"/>
      <c r="S190" s="61"/>
      <c r="T190" s="61"/>
      <c r="U190" s="61"/>
      <c r="V190" s="61"/>
      <c r="W190" s="145">
        <v>8</v>
      </c>
      <c r="X190" s="62"/>
      <c r="Y190" s="60"/>
      <c r="Z190" s="61"/>
      <c r="AA190" s="61"/>
      <c r="AB190" s="145"/>
      <c r="AC190" s="61"/>
      <c r="AD190" s="152">
        <v>44.99</v>
      </c>
      <c r="AE190" s="64"/>
      <c r="AF190" s="270"/>
      <c r="AG190" s="65"/>
      <c r="AH190" s="65"/>
      <c r="AI190" s="65"/>
      <c r="AJ190" s="65"/>
      <c r="AK190" s="196">
        <v>106032.41</v>
      </c>
      <c r="AL190" s="66"/>
      <c r="AM190" s="270"/>
      <c r="AN190" s="65"/>
      <c r="AO190" s="65"/>
      <c r="AP190" s="65"/>
      <c r="AQ190" s="65"/>
      <c r="AR190" s="196">
        <v>22461.49</v>
      </c>
      <c r="AS190" s="66"/>
      <c r="AT190" s="276"/>
      <c r="AU190" s="67"/>
      <c r="AV190" s="67"/>
      <c r="AW190" s="67"/>
      <c r="AX190" s="67"/>
      <c r="AY190" s="190">
        <f t="shared" si="83"/>
        <v>0.21183607917616887</v>
      </c>
      <c r="AZ190" s="68"/>
      <c r="BA190" s="276" t="s">
        <v>226</v>
      </c>
      <c r="BB190" s="69"/>
      <c r="BC190" s="69"/>
      <c r="BD190" s="69"/>
      <c r="BE190" s="69"/>
      <c r="BF190" s="199"/>
      <c r="BG190" s="70"/>
      <c r="BH190" s="60" t="s">
        <v>226</v>
      </c>
      <c r="BI190" s="71"/>
      <c r="BJ190" s="71"/>
      <c r="BK190" s="71"/>
      <c r="BL190" s="71"/>
      <c r="BM190" s="200"/>
      <c r="BN190" s="72"/>
      <c r="BO190" s="276"/>
      <c r="BP190" s="67"/>
      <c r="BQ190" s="67"/>
      <c r="BR190" s="190">
        <f>W190/P190</f>
        <v>8.8888888888888892E-2</v>
      </c>
      <c r="BS190" s="190"/>
      <c r="BT190" s="73"/>
      <c r="BU190" s="73"/>
    </row>
    <row r="191" spans="1:73" s="14" customFormat="1" x14ac:dyDescent="0.25">
      <c r="A191" s="13">
        <v>93</v>
      </c>
      <c r="B191" s="59" t="s">
        <v>398</v>
      </c>
      <c r="C191" s="60">
        <v>28</v>
      </c>
      <c r="D191" s="61">
        <v>28</v>
      </c>
      <c r="E191" s="61">
        <v>28</v>
      </c>
      <c r="F191" s="145">
        <v>29</v>
      </c>
      <c r="G191" s="62">
        <v>27</v>
      </c>
      <c r="H191" s="60"/>
      <c r="I191" s="61"/>
      <c r="J191" s="61"/>
      <c r="K191" s="145">
        <v>0</v>
      </c>
      <c r="L191" s="62">
        <v>0</v>
      </c>
      <c r="M191" s="60">
        <v>220</v>
      </c>
      <c r="N191" s="61">
        <v>174</v>
      </c>
      <c r="O191" s="61">
        <v>236</v>
      </c>
      <c r="P191" s="145">
        <v>1875</v>
      </c>
      <c r="Q191" s="62">
        <v>555</v>
      </c>
      <c r="R191" s="60">
        <v>18</v>
      </c>
      <c r="S191" s="61">
        <v>12</v>
      </c>
      <c r="T191" s="61">
        <v>8</v>
      </c>
      <c r="U191" s="61">
        <v>9</v>
      </c>
      <c r="V191" s="61">
        <v>7</v>
      </c>
      <c r="W191" s="145">
        <v>10</v>
      </c>
      <c r="X191" s="62">
        <v>7</v>
      </c>
      <c r="Y191" s="60">
        <v>18.34</v>
      </c>
      <c r="Z191" s="61">
        <v>24.08</v>
      </c>
      <c r="AA191" s="61">
        <v>29.96</v>
      </c>
      <c r="AB191" s="145">
        <v>31.38</v>
      </c>
      <c r="AC191" s="61">
        <v>31.38</v>
      </c>
      <c r="AD191" s="152">
        <v>30.23</v>
      </c>
      <c r="AE191" s="64">
        <v>30.23</v>
      </c>
      <c r="AF191" s="270">
        <v>153696</v>
      </c>
      <c r="AG191" s="65">
        <v>159584</v>
      </c>
      <c r="AH191" s="65">
        <v>198604</v>
      </c>
      <c r="AI191" s="65">
        <v>271710</v>
      </c>
      <c r="AJ191" s="65">
        <v>284263</v>
      </c>
      <c r="AK191" s="196">
        <v>254666</v>
      </c>
      <c r="AL191" s="66">
        <v>275861</v>
      </c>
      <c r="AM191" s="270"/>
      <c r="AN191" s="65"/>
      <c r="AO191" s="65">
        <v>4992</v>
      </c>
      <c r="AP191" s="65">
        <v>26787</v>
      </c>
      <c r="AQ191" s="65">
        <v>33498</v>
      </c>
      <c r="AR191" s="196">
        <v>90556</v>
      </c>
      <c r="AS191" s="66">
        <v>19180</v>
      </c>
      <c r="AT191" s="276">
        <f t="shared" si="102"/>
        <v>0</v>
      </c>
      <c r="AU191" s="67">
        <f t="shared" si="103"/>
        <v>0</v>
      </c>
      <c r="AV191" s="67">
        <f t="shared" si="104"/>
        <v>2.5135445408954502E-2</v>
      </c>
      <c r="AW191" s="67">
        <f t="shared" si="105"/>
        <v>9.8586728497294912E-2</v>
      </c>
      <c r="AX191" s="67">
        <f t="shared" si="106"/>
        <v>0.11784157628674855</v>
      </c>
      <c r="AY191" s="190">
        <f t="shared" si="83"/>
        <v>0.35558731829140916</v>
      </c>
      <c r="AZ191" s="68">
        <f t="shared" si="84"/>
        <v>6.9527769420106508E-2</v>
      </c>
      <c r="BA191" s="276" t="s">
        <v>226</v>
      </c>
      <c r="BB191" s="69">
        <f>(AU191-$AT191)*100</f>
        <v>0</v>
      </c>
      <c r="BC191" s="69">
        <f>(AV191-$AT191)*100</f>
        <v>2.5135445408954502</v>
      </c>
      <c r="BD191" s="69">
        <f t="shared" si="99"/>
        <v>9.8586728497294907</v>
      </c>
      <c r="BE191" s="69">
        <f t="shared" si="100"/>
        <v>11.784157628674855</v>
      </c>
      <c r="BF191" s="199">
        <f t="shared" si="88"/>
        <v>35.558731829140918</v>
      </c>
      <c r="BG191" s="70">
        <f t="shared" si="85"/>
        <v>6.9527769420106509</v>
      </c>
      <c r="BH191" s="60" t="s">
        <v>226</v>
      </c>
      <c r="BI191" s="71">
        <f t="shared" si="94"/>
        <v>0</v>
      </c>
      <c r="BJ191" s="71">
        <f t="shared" si="95"/>
        <v>2.5135445408954502</v>
      </c>
      <c r="BK191" s="71">
        <f t="shared" si="96"/>
        <v>7.3451283088340409</v>
      </c>
      <c r="BL191" s="71">
        <f t="shared" si="97"/>
        <v>1.9254847789453633</v>
      </c>
      <c r="BM191" s="200">
        <f t="shared" si="89"/>
        <v>23.774574200466063</v>
      </c>
      <c r="BN191" s="72">
        <f>(AZ191-AY191)*100</f>
        <v>-28.605954887130263</v>
      </c>
      <c r="BO191" s="276">
        <f>T191/M191</f>
        <v>3.6363636363636362E-2</v>
      </c>
      <c r="BP191" s="67">
        <f>U191/N191</f>
        <v>5.1724137931034482E-2</v>
      </c>
      <c r="BQ191" s="67">
        <f>V191/O191</f>
        <v>2.9661016949152543E-2</v>
      </c>
      <c r="BR191" s="190">
        <f>W191/P191</f>
        <v>5.3333333333333332E-3</v>
      </c>
      <c r="BS191" s="190">
        <f t="shared" ref="BS191:BS197" si="116">X191/Q191</f>
        <v>1.2612612612612612E-2</v>
      </c>
      <c r="BT191" s="73">
        <f t="shared" si="87"/>
        <v>0</v>
      </c>
      <c r="BU191" s="73">
        <f>(Q191-P191)/P191</f>
        <v>-0.70399999999999996</v>
      </c>
    </row>
    <row r="192" spans="1:73" s="14" customFormat="1" x14ac:dyDescent="0.25">
      <c r="A192" s="13"/>
      <c r="B192" s="59" t="s">
        <v>396</v>
      </c>
      <c r="C192" s="60"/>
      <c r="D192" s="61"/>
      <c r="E192" s="61"/>
      <c r="F192" s="145">
        <v>0</v>
      </c>
      <c r="G192" s="62">
        <v>0</v>
      </c>
      <c r="H192" s="60"/>
      <c r="I192" s="61"/>
      <c r="J192" s="61"/>
      <c r="K192" s="145">
        <v>66</v>
      </c>
      <c r="L192" s="62">
        <v>66</v>
      </c>
      <c r="M192" s="60"/>
      <c r="N192" s="61"/>
      <c r="O192" s="61"/>
      <c r="P192" s="145">
        <v>18</v>
      </c>
      <c r="Q192" s="62">
        <v>24</v>
      </c>
      <c r="R192" s="60"/>
      <c r="S192" s="61"/>
      <c r="T192" s="61"/>
      <c r="U192" s="61"/>
      <c r="V192" s="61"/>
      <c r="W192" s="145">
        <v>0</v>
      </c>
      <c r="X192" s="62">
        <v>0</v>
      </c>
      <c r="Y192" s="60"/>
      <c r="Z192" s="61"/>
      <c r="AA192" s="61"/>
      <c r="AB192" s="145"/>
      <c r="AC192" s="61"/>
      <c r="AD192" s="152">
        <v>33.04</v>
      </c>
      <c r="AE192" s="64">
        <v>33.04</v>
      </c>
      <c r="AF192" s="270"/>
      <c r="AG192" s="65"/>
      <c r="AH192" s="65"/>
      <c r="AI192" s="65"/>
      <c r="AJ192" s="65"/>
      <c r="AK192" s="196">
        <v>15990.59</v>
      </c>
      <c r="AL192" s="66">
        <v>21295.23</v>
      </c>
      <c r="AM192" s="270"/>
      <c r="AN192" s="65"/>
      <c r="AO192" s="65"/>
      <c r="AP192" s="65"/>
      <c r="AQ192" s="65"/>
      <c r="AR192" s="196">
        <v>3330.14</v>
      </c>
      <c r="AS192" s="66">
        <v>4187.87</v>
      </c>
      <c r="AT192" s="276"/>
      <c r="AU192" s="67"/>
      <c r="AV192" s="67"/>
      <c r="AW192" s="67"/>
      <c r="AX192" s="67"/>
      <c r="AY192" s="190">
        <f t="shared" si="83"/>
        <v>0.20825623069567789</v>
      </c>
      <c r="AZ192" s="68">
        <f t="shared" si="84"/>
        <v>0.19665765525894766</v>
      </c>
      <c r="BA192" s="276"/>
      <c r="BB192" s="69"/>
      <c r="BC192" s="69"/>
      <c r="BD192" s="69"/>
      <c r="BE192" s="69"/>
      <c r="BF192" s="199"/>
      <c r="BG192" s="70"/>
      <c r="BH192" s="60"/>
      <c r="BI192" s="71"/>
      <c r="BJ192" s="71"/>
      <c r="BK192" s="71"/>
      <c r="BL192" s="71"/>
      <c r="BM192" s="200"/>
      <c r="BN192" s="72">
        <f>(AZ192-AY192)*100</f>
        <v>-1.1598575436730236</v>
      </c>
      <c r="BO192" s="276"/>
      <c r="BP192" s="67"/>
      <c r="BQ192" s="67"/>
      <c r="BR192" s="190">
        <f>W192/P192</f>
        <v>0</v>
      </c>
      <c r="BS192" s="190">
        <f t="shared" si="116"/>
        <v>0</v>
      </c>
      <c r="BT192" s="73">
        <f t="shared" si="87"/>
        <v>0</v>
      </c>
      <c r="BU192" s="73">
        <f>(Q192-P192)/P192</f>
        <v>0.33333333333333331</v>
      </c>
    </row>
    <row r="193" spans="1:73" s="11" customFormat="1" x14ac:dyDescent="0.25">
      <c r="A193" s="10"/>
      <c r="B193" s="33" t="s">
        <v>397</v>
      </c>
      <c r="C193" s="34"/>
      <c r="D193" s="35"/>
      <c r="E193" s="35"/>
      <c r="F193" s="93"/>
      <c r="G193" s="36">
        <v>1</v>
      </c>
      <c r="H193" s="34"/>
      <c r="I193" s="35"/>
      <c r="J193" s="35"/>
      <c r="K193" s="93"/>
      <c r="L193" s="36">
        <v>16</v>
      </c>
      <c r="M193" s="34"/>
      <c r="N193" s="35"/>
      <c r="O193" s="35"/>
      <c r="P193" s="93"/>
      <c r="Q193" s="36">
        <v>10</v>
      </c>
      <c r="R193" s="34"/>
      <c r="S193" s="35"/>
      <c r="T193" s="35"/>
      <c r="U193" s="35"/>
      <c r="V193" s="35"/>
      <c r="W193" s="93"/>
      <c r="X193" s="36">
        <v>0</v>
      </c>
      <c r="Y193" s="34"/>
      <c r="Z193" s="35"/>
      <c r="AA193" s="35"/>
      <c r="AB193" s="93"/>
      <c r="AC193" s="35"/>
      <c r="AD193" s="154"/>
      <c r="AE193" s="90"/>
      <c r="AF193" s="38"/>
      <c r="AG193" s="39"/>
      <c r="AH193" s="39"/>
      <c r="AI193" s="39"/>
      <c r="AJ193" s="39"/>
      <c r="AK193" s="182"/>
      <c r="AL193" s="40">
        <v>5134.03</v>
      </c>
      <c r="AM193" s="38"/>
      <c r="AN193" s="39"/>
      <c r="AO193" s="39"/>
      <c r="AP193" s="39"/>
      <c r="AQ193" s="39"/>
      <c r="AR193" s="182"/>
      <c r="AS193" s="40">
        <v>2987.64</v>
      </c>
      <c r="AT193" s="41"/>
      <c r="AU193" s="42"/>
      <c r="AV193" s="42"/>
      <c r="AW193" s="42"/>
      <c r="AX193" s="42"/>
      <c r="AY193" s="183"/>
      <c r="AZ193" s="43">
        <f t="shared" si="84"/>
        <v>0.58192881615417125</v>
      </c>
      <c r="BA193" s="41"/>
      <c r="BB193" s="44"/>
      <c r="BC193" s="44"/>
      <c r="BD193" s="44"/>
      <c r="BE193" s="44"/>
      <c r="BF193" s="184"/>
      <c r="BG193" s="45"/>
      <c r="BH193" s="34"/>
      <c r="BI193" s="46"/>
      <c r="BJ193" s="46"/>
      <c r="BK193" s="46"/>
      <c r="BL193" s="46"/>
      <c r="BM193" s="185"/>
      <c r="BN193" s="47"/>
      <c r="BO193" s="41"/>
      <c r="BP193" s="42"/>
      <c r="BQ193" s="42"/>
      <c r="BR193" s="183"/>
      <c r="BS193" s="183">
        <f t="shared" si="116"/>
        <v>0</v>
      </c>
      <c r="BT193" s="48"/>
      <c r="BU193" s="48"/>
    </row>
    <row r="194" spans="1:73" s="14" customFormat="1" x14ac:dyDescent="0.25">
      <c r="A194" s="13"/>
      <c r="B194" s="59" t="s">
        <v>399</v>
      </c>
      <c r="C194" s="60"/>
      <c r="D194" s="61"/>
      <c r="E194" s="61"/>
      <c r="F194" s="145"/>
      <c r="G194" s="62">
        <v>3</v>
      </c>
      <c r="H194" s="60"/>
      <c r="I194" s="61"/>
      <c r="J194" s="61"/>
      <c r="K194" s="145"/>
      <c r="L194" s="62">
        <v>20</v>
      </c>
      <c r="M194" s="60"/>
      <c r="N194" s="61"/>
      <c r="O194" s="61"/>
      <c r="P194" s="145"/>
      <c r="Q194" s="62">
        <v>7</v>
      </c>
      <c r="R194" s="60"/>
      <c r="S194" s="61"/>
      <c r="T194" s="61"/>
      <c r="U194" s="61"/>
      <c r="V194" s="61"/>
      <c r="W194" s="145"/>
      <c r="X194" s="62">
        <v>0</v>
      </c>
      <c r="Y194" s="60"/>
      <c r="Z194" s="61"/>
      <c r="AA194" s="61"/>
      <c r="AB194" s="145"/>
      <c r="AC194" s="61"/>
      <c r="AD194" s="152"/>
      <c r="AE194" s="64" t="s">
        <v>400</v>
      </c>
      <c r="AF194" s="270"/>
      <c r="AG194" s="65"/>
      <c r="AH194" s="65"/>
      <c r="AI194" s="65"/>
      <c r="AJ194" s="65"/>
      <c r="AK194" s="196"/>
      <c r="AL194" s="66">
        <v>2380.4899999999998</v>
      </c>
      <c r="AM194" s="270"/>
      <c r="AN194" s="65"/>
      <c r="AO194" s="65"/>
      <c r="AP194" s="65"/>
      <c r="AQ194" s="65"/>
      <c r="AR194" s="196"/>
      <c r="AS194" s="66">
        <v>833.47</v>
      </c>
      <c r="AT194" s="276"/>
      <c r="AU194" s="67"/>
      <c r="AV194" s="67"/>
      <c r="AW194" s="67"/>
      <c r="AX194" s="67"/>
      <c r="AY194" s="190"/>
      <c r="AZ194" s="68">
        <f t="shared" si="84"/>
        <v>0.35012539435158313</v>
      </c>
      <c r="BA194" s="276"/>
      <c r="BB194" s="69"/>
      <c r="BC194" s="69"/>
      <c r="BD194" s="69"/>
      <c r="BE194" s="69"/>
      <c r="BF194" s="199"/>
      <c r="BG194" s="70"/>
      <c r="BH194" s="60"/>
      <c r="BI194" s="71"/>
      <c r="BJ194" s="71"/>
      <c r="BK194" s="71"/>
      <c r="BL194" s="71"/>
      <c r="BM194" s="200"/>
      <c r="BN194" s="72"/>
      <c r="BO194" s="276"/>
      <c r="BP194" s="67"/>
      <c r="BQ194" s="67"/>
      <c r="BR194" s="190"/>
      <c r="BS194" s="190">
        <f t="shared" si="116"/>
        <v>0</v>
      </c>
      <c r="BT194" s="73"/>
      <c r="BU194" s="73"/>
    </row>
    <row r="195" spans="1:73" s="24" customFormat="1" x14ac:dyDescent="0.25">
      <c r="A195" s="12">
        <v>94</v>
      </c>
      <c r="B195" s="17" t="s">
        <v>55</v>
      </c>
      <c r="C195" s="2">
        <v>8</v>
      </c>
      <c r="D195" s="3">
        <v>8</v>
      </c>
      <c r="E195" s="3">
        <v>8</v>
      </c>
      <c r="F195" s="144">
        <v>8</v>
      </c>
      <c r="G195" s="4">
        <v>8</v>
      </c>
      <c r="H195" s="2">
        <v>1920</v>
      </c>
      <c r="I195" s="3">
        <v>1919</v>
      </c>
      <c r="J195" s="3">
        <v>1918</v>
      </c>
      <c r="K195" s="144">
        <v>1919</v>
      </c>
      <c r="L195" s="4">
        <v>2059</v>
      </c>
      <c r="M195" s="2"/>
      <c r="N195" s="3"/>
      <c r="O195" s="3">
        <v>234</v>
      </c>
      <c r="P195" s="144">
        <v>450</v>
      </c>
      <c r="Q195" s="4">
        <v>358</v>
      </c>
      <c r="R195" s="2">
        <v>0</v>
      </c>
      <c r="S195" s="3">
        <v>0</v>
      </c>
      <c r="T195" s="3">
        <v>0</v>
      </c>
      <c r="U195" s="3">
        <v>0</v>
      </c>
      <c r="V195" s="3">
        <v>0</v>
      </c>
      <c r="W195" s="144">
        <v>20</v>
      </c>
      <c r="X195" s="4">
        <v>11</v>
      </c>
      <c r="Y195" s="5">
        <v>17.7</v>
      </c>
      <c r="Z195" s="49">
        <v>23.72</v>
      </c>
      <c r="AA195" s="49">
        <v>35.909999999999997</v>
      </c>
      <c r="AB195" s="153">
        <v>39.880000000000003</v>
      </c>
      <c r="AC195" s="49">
        <v>34.659999999999997</v>
      </c>
      <c r="AD195" s="153">
        <v>40.380000000000003</v>
      </c>
      <c r="AE195" s="86">
        <v>43.6</v>
      </c>
      <c r="AF195" s="19"/>
      <c r="AG195" s="20"/>
      <c r="AH195" s="20"/>
      <c r="AI195" s="20"/>
      <c r="AJ195" s="20">
        <v>406864</v>
      </c>
      <c r="AK195" s="210">
        <v>686293.7</v>
      </c>
      <c r="AL195" s="21">
        <v>748698</v>
      </c>
      <c r="AM195" s="19"/>
      <c r="AN195" s="20"/>
      <c r="AO195" s="20"/>
      <c r="AP195" s="20"/>
      <c r="AQ195" s="20">
        <v>44525</v>
      </c>
      <c r="AR195" s="210">
        <v>82844.12</v>
      </c>
      <c r="AS195" s="21">
        <v>98975</v>
      </c>
      <c r="AT195" s="50"/>
      <c r="AU195" s="51"/>
      <c r="AV195" s="51"/>
      <c r="AW195" s="51"/>
      <c r="AX195" s="51">
        <f>AQ195/AJ195</f>
        <v>0.10943460222580519</v>
      </c>
      <c r="AY195" s="211">
        <f t="shared" si="83"/>
        <v>0.12071234225230393</v>
      </c>
      <c r="AZ195" s="52">
        <f t="shared" si="84"/>
        <v>0.13219615919903618</v>
      </c>
      <c r="BA195" s="50" t="s">
        <v>226</v>
      </c>
      <c r="BB195" s="53"/>
      <c r="BC195" s="53"/>
      <c r="BD195" s="53"/>
      <c r="BE195" s="53"/>
      <c r="BF195" s="212"/>
      <c r="BG195" s="54"/>
      <c r="BH195" s="2" t="s">
        <v>226</v>
      </c>
      <c r="BI195" s="55"/>
      <c r="BJ195" s="55"/>
      <c r="BK195" s="55"/>
      <c r="BL195" s="55"/>
      <c r="BM195" s="55">
        <f t="shared" si="86"/>
        <v>1.1277740026498742</v>
      </c>
      <c r="BN195" s="330">
        <f t="shared" si="86"/>
        <v>1.1483816946732257</v>
      </c>
      <c r="BO195" s="50"/>
      <c r="BP195" s="51"/>
      <c r="BQ195" s="51">
        <f>V195/O195</f>
        <v>0</v>
      </c>
      <c r="BR195" s="211">
        <f>W195/P195</f>
        <v>4.4444444444444446E-2</v>
      </c>
      <c r="BS195" s="211">
        <f t="shared" si="116"/>
        <v>3.0726256983240222E-2</v>
      </c>
      <c r="BT195" s="57">
        <f t="shared" si="87"/>
        <v>7.9742446755819679E-2</v>
      </c>
      <c r="BU195" s="57">
        <f>(Q195-P195)/P195</f>
        <v>-0.20444444444444446</v>
      </c>
    </row>
    <row r="196" spans="1:73" s="24" customFormat="1" x14ac:dyDescent="0.25">
      <c r="A196" s="12">
        <v>95</v>
      </c>
      <c r="B196" s="17" t="s">
        <v>56</v>
      </c>
      <c r="C196" s="2"/>
      <c r="D196" s="3"/>
      <c r="E196" s="3"/>
      <c r="F196" s="144">
        <v>0</v>
      </c>
      <c r="G196" s="4">
        <v>0</v>
      </c>
      <c r="H196" s="2"/>
      <c r="I196" s="3"/>
      <c r="J196" s="3">
        <v>788</v>
      </c>
      <c r="K196" s="144">
        <v>590</v>
      </c>
      <c r="L196" s="4">
        <v>498</v>
      </c>
      <c r="M196" s="2"/>
      <c r="N196" s="3"/>
      <c r="O196" s="3">
        <v>294</v>
      </c>
      <c r="P196" s="144">
        <v>267</v>
      </c>
      <c r="Q196" s="4">
        <v>644</v>
      </c>
      <c r="R196" s="2"/>
      <c r="S196" s="3"/>
      <c r="T196" s="3"/>
      <c r="U196" s="3">
        <v>36</v>
      </c>
      <c r="V196" s="3">
        <v>142</v>
      </c>
      <c r="W196" s="144">
        <v>197</v>
      </c>
      <c r="X196" s="4">
        <v>10</v>
      </c>
      <c r="Y196" s="2">
        <v>29.12</v>
      </c>
      <c r="Z196" s="3">
        <v>29.12</v>
      </c>
      <c r="AA196" s="3">
        <v>32.78</v>
      </c>
      <c r="AB196" s="144">
        <v>32.18</v>
      </c>
      <c r="AC196" s="3">
        <v>32.18</v>
      </c>
      <c r="AD196" s="144">
        <v>32.18</v>
      </c>
      <c r="AE196" s="4">
        <v>40.83</v>
      </c>
      <c r="AF196" s="19"/>
      <c r="AG196" s="20"/>
      <c r="AH196" s="20"/>
      <c r="AI196" s="20"/>
      <c r="AJ196" s="20">
        <v>246297</v>
      </c>
      <c r="AK196" s="210">
        <v>195809</v>
      </c>
      <c r="AL196" s="21">
        <v>206072</v>
      </c>
      <c r="AM196" s="19"/>
      <c r="AN196" s="20"/>
      <c r="AO196" s="20"/>
      <c r="AP196" s="20"/>
      <c r="AQ196" s="20">
        <v>54126</v>
      </c>
      <c r="AR196" s="210">
        <v>71567</v>
      </c>
      <c r="AS196" s="21">
        <v>57432</v>
      </c>
      <c r="AT196" s="50"/>
      <c r="AU196" s="51"/>
      <c r="AV196" s="51"/>
      <c r="AW196" s="51"/>
      <c r="AX196" s="51">
        <f>AQ196/AJ196</f>
        <v>0.21975907136505926</v>
      </c>
      <c r="AY196" s="211">
        <f t="shared" si="83"/>
        <v>0.36549392520262092</v>
      </c>
      <c r="AZ196" s="52">
        <f t="shared" si="84"/>
        <v>0.27869870724795215</v>
      </c>
      <c r="BA196" s="50" t="s">
        <v>226</v>
      </c>
      <c r="BB196" s="53"/>
      <c r="BC196" s="53"/>
      <c r="BD196" s="53"/>
      <c r="BE196" s="53"/>
      <c r="BF196" s="212"/>
      <c r="BG196" s="54"/>
      <c r="BH196" s="2" t="s">
        <v>226</v>
      </c>
      <c r="BI196" s="55"/>
      <c r="BJ196" s="55"/>
      <c r="BK196" s="55"/>
      <c r="BL196" s="55"/>
      <c r="BM196" s="213"/>
      <c r="BN196" s="56">
        <f t="shared" si="86"/>
        <v>-8.6795217954668775</v>
      </c>
      <c r="BO196" s="50"/>
      <c r="BP196" s="51"/>
      <c r="BQ196" s="51">
        <f>V196/O196</f>
        <v>0.48299319727891155</v>
      </c>
      <c r="BR196" s="211">
        <f>W196/P196</f>
        <v>0.73782771535580527</v>
      </c>
      <c r="BS196" s="211">
        <f t="shared" si="116"/>
        <v>1.5527950310559006E-2</v>
      </c>
      <c r="BT196" s="57">
        <f t="shared" si="87"/>
        <v>0.26880049720323179</v>
      </c>
      <c r="BU196" s="57"/>
    </row>
    <row r="197" spans="1:73" s="9" customFormat="1" x14ac:dyDescent="0.25">
      <c r="A197" s="12">
        <v>96</v>
      </c>
      <c r="B197" s="17" t="s">
        <v>238</v>
      </c>
      <c r="C197" s="2">
        <v>112</v>
      </c>
      <c r="D197" s="3">
        <v>113</v>
      </c>
      <c r="E197" s="3">
        <v>113</v>
      </c>
      <c r="F197" s="144"/>
      <c r="G197" s="4">
        <v>95</v>
      </c>
      <c r="H197" s="2">
        <v>2804</v>
      </c>
      <c r="I197" s="3">
        <v>2838</v>
      </c>
      <c r="J197" s="3">
        <v>2838</v>
      </c>
      <c r="K197" s="144"/>
      <c r="L197" s="4">
        <v>0</v>
      </c>
      <c r="M197" s="2">
        <v>497</v>
      </c>
      <c r="N197" s="3">
        <v>612</v>
      </c>
      <c r="O197" s="3">
        <v>663</v>
      </c>
      <c r="P197" s="144"/>
      <c r="Q197" s="4">
        <v>2718</v>
      </c>
      <c r="R197" s="2">
        <v>0</v>
      </c>
      <c r="S197" s="3">
        <v>0</v>
      </c>
      <c r="T197" s="3">
        <v>16</v>
      </c>
      <c r="U197" s="3">
        <v>18</v>
      </c>
      <c r="V197" s="3">
        <v>24</v>
      </c>
      <c r="W197" s="144"/>
      <c r="X197" s="4">
        <v>59</v>
      </c>
      <c r="Y197" s="5">
        <v>35.200000000000003</v>
      </c>
      <c r="Z197" s="49">
        <v>35.200000000000003</v>
      </c>
      <c r="AA197" s="49">
        <v>35.200000000000003</v>
      </c>
      <c r="AB197" s="153">
        <v>35.200000000000003</v>
      </c>
      <c r="AC197" s="49">
        <v>35.200000000000003</v>
      </c>
      <c r="AD197" s="153"/>
      <c r="AE197" s="86">
        <v>37.659999999999997</v>
      </c>
      <c r="AF197" s="19">
        <v>640233</v>
      </c>
      <c r="AG197" s="20">
        <v>663028</v>
      </c>
      <c r="AH197" s="20">
        <v>757448</v>
      </c>
      <c r="AI197" s="20">
        <v>715049</v>
      </c>
      <c r="AJ197" s="20">
        <v>731746</v>
      </c>
      <c r="AK197" s="210"/>
      <c r="AL197" s="21">
        <v>871863.48</v>
      </c>
      <c r="AM197" s="19">
        <v>73966</v>
      </c>
      <c r="AN197" s="20">
        <v>84365</v>
      </c>
      <c r="AO197" s="20">
        <v>106086</v>
      </c>
      <c r="AP197" s="20">
        <v>120520</v>
      </c>
      <c r="AQ197" s="20">
        <v>142215</v>
      </c>
      <c r="AR197" s="210"/>
      <c r="AS197" s="21">
        <v>291160.77</v>
      </c>
      <c r="AT197" s="50">
        <f>AM197/AF197</f>
        <v>0.11552981492675322</v>
      </c>
      <c r="AU197" s="51">
        <f>AN197/AG197</f>
        <v>0.12724198676375659</v>
      </c>
      <c r="AV197" s="51">
        <f>AO197/AH197</f>
        <v>0.14005713923596075</v>
      </c>
      <c r="AW197" s="51">
        <f>AP197/AI197</f>
        <v>0.16854788972503981</v>
      </c>
      <c r="AX197" s="51">
        <f>AQ197/AJ197</f>
        <v>0.19435022535141974</v>
      </c>
      <c r="AY197" s="211"/>
      <c r="AZ197" s="52">
        <f t="shared" si="84"/>
        <v>0.33395224903788839</v>
      </c>
      <c r="BA197" s="50" t="s">
        <v>226</v>
      </c>
      <c r="BB197" s="53">
        <f t="shared" ref="BB197:BB213" si="117">(AU197-$AT197)*100</f>
        <v>1.1712171837003362</v>
      </c>
      <c r="BC197" s="53">
        <f t="shared" ref="BC197:BC213" si="118">(AV197-$AT197)*100</f>
        <v>2.4527324309207525</v>
      </c>
      <c r="BD197" s="53">
        <f t="shared" ref="BD197:BD213" si="119">(AW197-$AT197)*100</f>
        <v>5.3018074798286587</v>
      </c>
      <c r="BE197" s="53">
        <f>(AX197-$AT197)*100</f>
        <v>7.8820410424666516</v>
      </c>
      <c r="BF197" s="212"/>
      <c r="BG197" s="54">
        <f t="shared" si="85"/>
        <v>21.842243411113515</v>
      </c>
      <c r="BH197" s="2" t="s">
        <v>226</v>
      </c>
      <c r="BI197" s="55">
        <f t="shared" ref="BI197:BI213" si="120">(AU197-AT197)*100</f>
        <v>1.1712171837003362</v>
      </c>
      <c r="BJ197" s="55">
        <f t="shared" ref="BJ197:BJ213" si="121">(AV197-AU197)*100</f>
        <v>1.2815152472204161</v>
      </c>
      <c r="BK197" s="55">
        <f t="shared" ref="BK197:BK213" si="122">(AW197-AV197)*100</f>
        <v>2.8490750489079062</v>
      </c>
      <c r="BL197" s="55">
        <f>(AX197-AW197)*100</f>
        <v>2.5802335626379929</v>
      </c>
      <c r="BM197" s="213"/>
      <c r="BN197" s="56"/>
      <c r="BO197" s="50">
        <f>T197/M197</f>
        <v>3.2193158953722337E-2</v>
      </c>
      <c r="BP197" s="51">
        <f>U197/N197</f>
        <v>2.9411764705882353E-2</v>
      </c>
      <c r="BQ197" s="51">
        <f>V197/O197</f>
        <v>3.6199095022624438E-2</v>
      </c>
      <c r="BR197" s="211"/>
      <c r="BS197" s="211">
        <f t="shared" si="116"/>
        <v>2.1707137601177335E-2</v>
      </c>
      <c r="BT197" s="57"/>
      <c r="BU197" s="57"/>
    </row>
    <row r="198" spans="1:73" s="14" customFormat="1" x14ac:dyDescent="0.25">
      <c r="A198" s="13"/>
      <c r="B198" s="59" t="s">
        <v>367</v>
      </c>
      <c r="C198" s="60"/>
      <c r="D198" s="61"/>
      <c r="E198" s="61"/>
      <c r="F198" s="145">
        <v>0</v>
      </c>
      <c r="G198" s="62"/>
      <c r="H198" s="60"/>
      <c r="I198" s="61"/>
      <c r="J198" s="61"/>
      <c r="K198" s="145">
        <v>90</v>
      </c>
      <c r="L198" s="62"/>
      <c r="M198" s="60"/>
      <c r="N198" s="61"/>
      <c r="O198" s="61"/>
      <c r="P198" s="145">
        <v>48</v>
      </c>
      <c r="Q198" s="62"/>
      <c r="R198" s="60"/>
      <c r="S198" s="61"/>
      <c r="T198" s="61"/>
      <c r="U198" s="61"/>
      <c r="V198" s="61"/>
      <c r="W198" s="145">
        <v>0</v>
      </c>
      <c r="X198" s="62"/>
      <c r="Y198" s="85"/>
      <c r="Z198" s="63"/>
      <c r="AA198" s="63"/>
      <c r="AB198" s="152"/>
      <c r="AC198" s="63"/>
      <c r="AD198" s="152">
        <v>25.2</v>
      </c>
      <c r="AE198" s="64"/>
      <c r="AF198" s="270"/>
      <c r="AG198" s="65"/>
      <c r="AH198" s="65"/>
      <c r="AI198" s="65"/>
      <c r="AJ198" s="65"/>
      <c r="AK198" s="196">
        <v>22818</v>
      </c>
      <c r="AL198" s="66"/>
      <c r="AM198" s="270"/>
      <c r="AN198" s="65"/>
      <c r="AO198" s="65"/>
      <c r="AP198" s="65"/>
      <c r="AQ198" s="65"/>
      <c r="AR198" s="196">
        <v>9420</v>
      </c>
      <c r="AS198" s="66"/>
      <c r="AT198" s="276"/>
      <c r="AU198" s="67"/>
      <c r="AV198" s="67"/>
      <c r="AW198" s="67"/>
      <c r="AX198" s="67"/>
      <c r="AY198" s="190">
        <f t="shared" si="83"/>
        <v>0.41283197475677097</v>
      </c>
      <c r="AZ198" s="68"/>
      <c r="BA198" s="276"/>
      <c r="BB198" s="69"/>
      <c r="BC198" s="69"/>
      <c r="BD198" s="69"/>
      <c r="BE198" s="69"/>
      <c r="BF198" s="199"/>
      <c r="BG198" s="70"/>
      <c r="BH198" s="60"/>
      <c r="BI198" s="71"/>
      <c r="BJ198" s="71"/>
      <c r="BK198" s="71"/>
      <c r="BL198" s="71"/>
      <c r="BM198" s="200"/>
      <c r="BN198" s="72"/>
      <c r="BO198" s="276"/>
      <c r="BP198" s="67"/>
      <c r="BQ198" s="67"/>
      <c r="BR198" s="190">
        <f>W198/P198</f>
        <v>0</v>
      </c>
      <c r="BS198" s="190"/>
      <c r="BT198" s="73"/>
      <c r="BU198" s="73"/>
    </row>
    <row r="199" spans="1:73" s="14" customFormat="1" x14ac:dyDescent="0.25">
      <c r="A199" s="13"/>
      <c r="B199" s="59" t="s">
        <v>239</v>
      </c>
      <c r="C199" s="60">
        <v>12</v>
      </c>
      <c r="D199" s="61">
        <v>12</v>
      </c>
      <c r="E199" s="61">
        <v>12</v>
      </c>
      <c r="F199" s="145">
        <v>11</v>
      </c>
      <c r="G199" s="62"/>
      <c r="H199" s="60">
        <v>208</v>
      </c>
      <c r="I199" s="61">
        <v>204</v>
      </c>
      <c r="J199" s="61">
        <v>204</v>
      </c>
      <c r="K199" s="145">
        <v>180</v>
      </c>
      <c r="L199" s="62"/>
      <c r="M199" s="60">
        <v>18</v>
      </c>
      <c r="N199" s="61">
        <v>37</v>
      </c>
      <c r="O199" s="61">
        <v>58</v>
      </c>
      <c r="P199" s="145">
        <v>33</v>
      </c>
      <c r="Q199" s="62"/>
      <c r="R199" s="60">
        <v>0</v>
      </c>
      <c r="S199" s="61">
        <v>0</v>
      </c>
      <c r="T199" s="61">
        <v>0</v>
      </c>
      <c r="U199" s="61">
        <v>0</v>
      </c>
      <c r="V199" s="61">
        <v>0</v>
      </c>
      <c r="W199" s="145">
        <v>6</v>
      </c>
      <c r="X199" s="62"/>
      <c r="Y199" s="60" t="s">
        <v>240</v>
      </c>
      <c r="Z199" s="61" t="s">
        <v>240</v>
      </c>
      <c r="AA199" s="61" t="s">
        <v>240</v>
      </c>
      <c r="AB199" s="145" t="s">
        <v>240</v>
      </c>
      <c r="AC199" s="61" t="s">
        <v>240</v>
      </c>
      <c r="AD199" s="145" t="s">
        <v>240</v>
      </c>
      <c r="AE199" s="62"/>
      <c r="AF199" s="270">
        <v>36472</v>
      </c>
      <c r="AG199" s="65">
        <v>38742</v>
      </c>
      <c r="AH199" s="65">
        <v>40298</v>
      </c>
      <c r="AI199" s="65">
        <v>46742</v>
      </c>
      <c r="AJ199" s="65">
        <v>44939</v>
      </c>
      <c r="AK199" s="196"/>
      <c r="AL199" s="66"/>
      <c r="AM199" s="270">
        <v>2985</v>
      </c>
      <c r="AN199" s="65">
        <v>3247</v>
      </c>
      <c r="AO199" s="65">
        <v>2985</v>
      </c>
      <c r="AP199" s="65">
        <v>7011</v>
      </c>
      <c r="AQ199" s="65">
        <v>11684</v>
      </c>
      <c r="AR199" s="196"/>
      <c r="AS199" s="66"/>
      <c r="AT199" s="276">
        <f t="shared" ref="AT199:AT213" si="123">AM199/AF199</f>
        <v>8.1843606053959198E-2</v>
      </c>
      <c r="AU199" s="67">
        <f t="shared" ref="AU199:AU213" si="124">AN199/AG199</f>
        <v>8.3810851272520775E-2</v>
      </c>
      <c r="AV199" s="67">
        <f t="shared" ref="AV199:AV213" si="125">AO199/AH199</f>
        <v>7.407315499528512E-2</v>
      </c>
      <c r="AW199" s="67">
        <f t="shared" ref="AW199:AW213" si="126">AP199/AI199</f>
        <v>0.14999358178939712</v>
      </c>
      <c r="AX199" s="67">
        <f t="shared" ref="AX199:AX213" si="127">AQ199/AJ199</f>
        <v>0.25999688466588039</v>
      </c>
      <c r="AY199" s="190"/>
      <c r="AZ199" s="68"/>
      <c r="BA199" s="276" t="s">
        <v>226</v>
      </c>
      <c r="BB199" s="69">
        <f t="shared" si="117"/>
        <v>0.1967245218561578</v>
      </c>
      <c r="BC199" s="69">
        <f t="shared" si="118"/>
        <v>-0.77704510586740771</v>
      </c>
      <c r="BD199" s="69">
        <f t="shared" si="119"/>
        <v>6.814997573543792</v>
      </c>
      <c r="BE199" s="69">
        <f t="shared" ref="BE199:BE204" si="128">(AX199-$AT199)*100</f>
        <v>17.81532786119212</v>
      </c>
      <c r="BF199" s="199"/>
      <c r="BG199" s="70"/>
      <c r="BH199" s="60" t="s">
        <v>226</v>
      </c>
      <c r="BI199" s="71">
        <f t="shared" si="120"/>
        <v>0.1967245218561578</v>
      </c>
      <c r="BJ199" s="71">
        <f t="shared" si="121"/>
        <v>-0.97376962772356546</v>
      </c>
      <c r="BK199" s="71">
        <f t="shared" si="122"/>
        <v>7.5920426794111995</v>
      </c>
      <c r="BL199" s="71">
        <f t="shared" ref="BL199:BL204" si="129">(AX199-AW199)*100</f>
        <v>11.000330287648326</v>
      </c>
      <c r="BM199" s="200"/>
      <c r="BN199" s="72"/>
      <c r="BO199" s="276">
        <f t="shared" ref="BO199:BQ204" si="130">T199/M199</f>
        <v>0</v>
      </c>
      <c r="BP199" s="67">
        <f t="shared" si="130"/>
        <v>0</v>
      </c>
      <c r="BQ199" s="67">
        <f t="shared" si="130"/>
        <v>0</v>
      </c>
      <c r="BR199" s="190">
        <f>W199/P199</f>
        <v>0.18181818181818182</v>
      </c>
      <c r="BS199" s="190"/>
      <c r="BT199" s="73"/>
      <c r="BU199" s="73"/>
    </row>
    <row r="200" spans="1:73" s="14" customFormat="1" x14ac:dyDescent="0.25">
      <c r="A200" s="13"/>
      <c r="B200" s="59" t="s">
        <v>241</v>
      </c>
      <c r="C200" s="60">
        <v>11</v>
      </c>
      <c r="D200" s="61">
        <v>9</v>
      </c>
      <c r="E200" s="61">
        <v>9</v>
      </c>
      <c r="F200" s="145"/>
      <c r="G200" s="62"/>
      <c r="H200" s="60">
        <v>204</v>
      </c>
      <c r="I200" s="61">
        <v>190</v>
      </c>
      <c r="J200" s="61">
        <v>176</v>
      </c>
      <c r="K200" s="145"/>
      <c r="L200" s="62"/>
      <c r="M200" s="60">
        <v>12</v>
      </c>
      <c r="N200" s="61">
        <v>34</v>
      </c>
      <c r="O200" s="61">
        <v>61</v>
      </c>
      <c r="P200" s="145"/>
      <c r="Q200" s="62"/>
      <c r="R200" s="60">
        <v>0</v>
      </c>
      <c r="S200" s="61">
        <v>0</v>
      </c>
      <c r="T200" s="61">
        <v>0</v>
      </c>
      <c r="U200" s="61">
        <v>0</v>
      </c>
      <c r="V200" s="61">
        <v>5</v>
      </c>
      <c r="W200" s="145"/>
      <c r="X200" s="62"/>
      <c r="Y200" s="60"/>
      <c r="Z200" s="61"/>
      <c r="AA200" s="61">
        <v>27.76</v>
      </c>
      <c r="AB200" s="145">
        <v>27.76</v>
      </c>
      <c r="AC200" s="61">
        <v>36.32</v>
      </c>
      <c r="AD200" s="152"/>
      <c r="AE200" s="64"/>
      <c r="AF200" s="270">
        <v>43969</v>
      </c>
      <c r="AG200" s="65">
        <v>42985</v>
      </c>
      <c r="AH200" s="65">
        <v>32887</v>
      </c>
      <c r="AI200" s="65">
        <v>52119</v>
      </c>
      <c r="AJ200" s="65">
        <v>58981</v>
      </c>
      <c r="AK200" s="196"/>
      <c r="AL200" s="66"/>
      <c r="AM200" s="270">
        <v>4628</v>
      </c>
      <c r="AN200" s="65">
        <v>4729</v>
      </c>
      <c r="AO200" s="65">
        <v>668</v>
      </c>
      <c r="AP200" s="65">
        <v>7238</v>
      </c>
      <c r="AQ200" s="65">
        <v>12976</v>
      </c>
      <c r="AR200" s="196"/>
      <c r="AS200" s="66"/>
      <c r="AT200" s="276">
        <f t="shared" si="123"/>
        <v>0.10525597580113262</v>
      </c>
      <c r="AU200" s="67">
        <f t="shared" si="124"/>
        <v>0.11001512155403048</v>
      </c>
      <c r="AV200" s="67">
        <f t="shared" si="125"/>
        <v>2.0311977377079089E-2</v>
      </c>
      <c r="AW200" s="67">
        <f t="shared" si="126"/>
        <v>0.1388744987432606</v>
      </c>
      <c r="AX200" s="67">
        <f t="shared" si="127"/>
        <v>0.22000305183025043</v>
      </c>
      <c r="AY200" s="190"/>
      <c r="AZ200" s="68"/>
      <c r="BA200" s="276" t="s">
        <v>226</v>
      </c>
      <c r="BB200" s="69">
        <f t="shared" si="117"/>
        <v>0.47591457528978615</v>
      </c>
      <c r="BC200" s="69">
        <f t="shared" si="118"/>
        <v>-8.494399842405354</v>
      </c>
      <c r="BD200" s="69">
        <f t="shared" si="119"/>
        <v>3.3618522942127984</v>
      </c>
      <c r="BE200" s="69">
        <f t="shared" si="128"/>
        <v>11.474707602911781</v>
      </c>
      <c r="BF200" s="199"/>
      <c r="BG200" s="70"/>
      <c r="BH200" s="60" t="s">
        <v>226</v>
      </c>
      <c r="BI200" s="71">
        <f t="shared" si="120"/>
        <v>0.47591457528978615</v>
      </c>
      <c r="BJ200" s="71">
        <f t="shared" si="121"/>
        <v>-8.970314417695139</v>
      </c>
      <c r="BK200" s="71">
        <f t="shared" si="122"/>
        <v>11.856252136618153</v>
      </c>
      <c r="BL200" s="71">
        <f t="shared" si="129"/>
        <v>8.1128553086989825</v>
      </c>
      <c r="BM200" s="200"/>
      <c r="BN200" s="72"/>
      <c r="BO200" s="276">
        <f t="shared" si="130"/>
        <v>0</v>
      </c>
      <c r="BP200" s="67">
        <f t="shared" si="130"/>
        <v>0</v>
      </c>
      <c r="BQ200" s="67">
        <f t="shared" si="130"/>
        <v>8.1967213114754092E-2</v>
      </c>
      <c r="BR200" s="190"/>
      <c r="BS200" s="190"/>
      <c r="BT200" s="73"/>
      <c r="BU200" s="73"/>
    </row>
    <row r="201" spans="1:73" s="14" customFormat="1" x14ac:dyDescent="0.25">
      <c r="A201" s="13"/>
      <c r="B201" s="59" t="s">
        <v>242</v>
      </c>
      <c r="C201" s="60">
        <v>8</v>
      </c>
      <c r="D201" s="61">
        <v>10</v>
      </c>
      <c r="E201" s="61">
        <v>9</v>
      </c>
      <c r="F201" s="145"/>
      <c r="G201" s="62"/>
      <c r="H201" s="60">
        <v>124</v>
      </c>
      <c r="I201" s="61">
        <v>124</v>
      </c>
      <c r="J201" s="61">
        <v>124</v>
      </c>
      <c r="K201" s="145"/>
      <c r="L201" s="62"/>
      <c r="M201" s="60">
        <v>18</v>
      </c>
      <c r="N201" s="61">
        <v>21</v>
      </c>
      <c r="O201" s="61">
        <v>38</v>
      </c>
      <c r="P201" s="145"/>
      <c r="Q201" s="62"/>
      <c r="R201" s="60">
        <v>0</v>
      </c>
      <c r="S201" s="61">
        <v>0</v>
      </c>
      <c r="T201" s="61">
        <v>1</v>
      </c>
      <c r="U201" s="61">
        <v>0</v>
      </c>
      <c r="V201" s="61">
        <v>0</v>
      </c>
      <c r="W201" s="145"/>
      <c r="X201" s="62"/>
      <c r="Y201" s="60">
        <v>23.55</v>
      </c>
      <c r="Z201" s="61">
        <v>23.55</v>
      </c>
      <c r="AA201" s="63">
        <f>(AB201+Z201)/2</f>
        <v>26.685000000000002</v>
      </c>
      <c r="AB201" s="145">
        <v>29.82</v>
      </c>
      <c r="AC201" s="61">
        <v>29.82</v>
      </c>
      <c r="AD201" s="152"/>
      <c r="AE201" s="64"/>
      <c r="AF201" s="270">
        <v>18552</v>
      </c>
      <c r="AG201" s="65">
        <v>19980</v>
      </c>
      <c r="AH201" s="65">
        <v>19823</v>
      </c>
      <c r="AI201" s="65">
        <v>31905</v>
      </c>
      <c r="AJ201" s="65">
        <v>34437</v>
      </c>
      <c r="AK201" s="196"/>
      <c r="AL201" s="66"/>
      <c r="AM201" s="270">
        <v>2454</v>
      </c>
      <c r="AN201" s="65">
        <v>2546</v>
      </c>
      <c r="AO201" s="65">
        <v>2491</v>
      </c>
      <c r="AP201" s="65">
        <v>4586</v>
      </c>
      <c r="AQ201" s="65">
        <v>8279</v>
      </c>
      <c r="AR201" s="196"/>
      <c r="AS201" s="66"/>
      <c r="AT201" s="276">
        <f t="shared" si="123"/>
        <v>0.13227684346701166</v>
      </c>
      <c r="AU201" s="67">
        <f t="shared" si="124"/>
        <v>0.12742742742742744</v>
      </c>
      <c r="AV201" s="67">
        <f t="shared" si="125"/>
        <v>0.12566210967058467</v>
      </c>
      <c r="AW201" s="67">
        <f t="shared" si="126"/>
        <v>0.14373922582667292</v>
      </c>
      <c r="AX201" s="67">
        <f t="shared" si="127"/>
        <v>0.24041002410198334</v>
      </c>
      <c r="AY201" s="190"/>
      <c r="AZ201" s="68"/>
      <c r="BA201" s="276" t="s">
        <v>226</v>
      </c>
      <c r="BB201" s="69">
        <f t="shared" si="117"/>
        <v>-0.48494160395842201</v>
      </c>
      <c r="BC201" s="69">
        <f t="shared" si="118"/>
        <v>-0.66147337964269914</v>
      </c>
      <c r="BD201" s="69">
        <f t="shared" si="119"/>
        <v>1.1462382359661265</v>
      </c>
      <c r="BE201" s="69">
        <f t="shared" si="128"/>
        <v>10.813318063497167</v>
      </c>
      <c r="BF201" s="199"/>
      <c r="BG201" s="70"/>
      <c r="BH201" s="60" t="s">
        <v>226</v>
      </c>
      <c r="BI201" s="71">
        <f t="shared" si="120"/>
        <v>-0.48494160395842201</v>
      </c>
      <c r="BJ201" s="71">
        <f t="shared" si="121"/>
        <v>-0.17653177568427714</v>
      </c>
      <c r="BK201" s="71">
        <f t="shared" si="122"/>
        <v>1.8077116156088258</v>
      </c>
      <c r="BL201" s="71">
        <f t="shared" si="129"/>
        <v>9.6670798275310421</v>
      </c>
      <c r="BM201" s="200"/>
      <c r="BN201" s="72"/>
      <c r="BO201" s="276">
        <f t="shared" si="130"/>
        <v>5.5555555555555552E-2</v>
      </c>
      <c r="BP201" s="67">
        <f t="shared" si="130"/>
        <v>0</v>
      </c>
      <c r="BQ201" s="67">
        <f t="shared" si="130"/>
        <v>0</v>
      </c>
      <c r="BR201" s="190"/>
      <c r="BS201" s="190"/>
      <c r="BT201" s="73"/>
      <c r="BU201" s="73"/>
    </row>
    <row r="202" spans="1:73" s="14" customFormat="1" x14ac:dyDescent="0.25">
      <c r="A202" s="13"/>
      <c r="B202" s="59" t="s">
        <v>243</v>
      </c>
      <c r="C202" s="60">
        <v>9</v>
      </c>
      <c r="D202" s="61">
        <v>9</v>
      </c>
      <c r="E202" s="61">
        <v>9</v>
      </c>
      <c r="F202" s="145"/>
      <c r="G202" s="62"/>
      <c r="H202" s="60">
        <v>208</v>
      </c>
      <c r="I202" s="61">
        <v>204</v>
      </c>
      <c r="J202" s="61">
        <v>198</v>
      </c>
      <c r="K202" s="145"/>
      <c r="L202" s="62"/>
      <c r="M202" s="60">
        <v>26</v>
      </c>
      <c r="N202" s="61">
        <v>54</v>
      </c>
      <c r="O202" s="61">
        <v>74</v>
      </c>
      <c r="P202" s="145"/>
      <c r="Q202" s="62"/>
      <c r="R202" s="60">
        <v>0</v>
      </c>
      <c r="S202" s="61">
        <v>0</v>
      </c>
      <c r="T202" s="61">
        <v>0</v>
      </c>
      <c r="U202" s="61">
        <v>0</v>
      </c>
      <c r="V202" s="61">
        <v>0</v>
      </c>
      <c r="W202" s="145"/>
      <c r="X202" s="62"/>
      <c r="Y202" s="60" t="s">
        <v>244</v>
      </c>
      <c r="Z202" s="61" t="s">
        <v>244</v>
      </c>
      <c r="AA202" s="63" t="s">
        <v>244</v>
      </c>
      <c r="AB202" s="145">
        <v>29.82</v>
      </c>
      <c r="AC202" s="61">
        <v>29.82</v>
      </c>
      <c r="AD202" s="152"/>
      <c r="AE202" s="64"/>
      <c r="AF202" s="270">
        <v>47523</v>
      </c>
      <c r="AG202" s="65">
        <v>49852</v>
      </c>
      <c r="AH202" s="65">
        <v>55712</v>
      </c>
      <c r="AI202" s="65">
        <v>58519</v>
      </c>
      <c r="AJ202" s="65">
        <v>53190</v>
      </c>
      <c r="AK202" s="196"/>
      <c r="AL202" s="66"/>
      <c r="AM202" s="270">
        <v>5421</v>
      </c>
      <c r="AN202" s="65">
        <v>4521</v>
      </c>
      <c r="AO202" s="65">
        <v>6541</v>
      </c>
      <c r="AP202" s="65">
        <v>14192</v>
      </c>
      <c r="AQ202" s="65">
        <v>17020</v>
      </c>
      <c r="AR202" s="196"/>
      <c r="AS202" s="66"/>
      <c r="AT202" s="276">
        <f t="shared" si="123"/>
        <v>0.11407108137112557</v>
      </c>
      <c r="AU202" s="67">
        <f t="shared" si="124"/>
        <v>9.0688437775816422E-2</v>
      </c>
      <c r="AV202" s="67">
        <f t="shared" si="125"/>
        <v>0.1174073808156232</v>
      </c>
      <c r="AW202" s="67">
        <f t="shared" si="126"/>
        <v>0.24251952357354023</v>
      </c>
      <c r="AX202" s="67">
        <f t="shared" si="127"/>
        <v>0.31998495957886819</v>
      </c>
      <c r="AY202" s="190"/>
      <c r="AZ202" s="68"/>
      <c r="BA202" s="276" t="s">
        <v>226</v>
      </c>
      <c r="BB202" s="69">
        <f t="shared" si="117"/>
        <v>-2.3382643595309145</v>
      </c>
      <c r="BC202" s="69">
        <f t="shared" si="118"/>
        <v>0.3336299444497634</v>
      </c>
      <c r="BD202" s="69">
        <f t="shared" si="119"/>
        <v>12.844844220241466</v>
      </c>
      <c r="BE202" s="69">
        <f t="shared" si="128"/>
        <v>20.591387820774262</v>
      </c>
      <c r="BF202" s="199"/>
      <c r="BG202" s="70"/>
      <c r="BH202" s="60" t="s">
        <v>226</v>
      </c>
      <c r="BI202" s="71">
        <f t="shared" si="120"/>
        <v>-2.3382643595309145</v>
      </c>
      <c r="BJ202" s="71">
        <f t="shared" si="121"/>
        <v>2.671894303980678</v>
      </c>
      <c r="BK202" s="71">
        <f t="shared" si="122"/>
        <v>12.511214275791705</v>
      </c>
      <c r="BL202" s="71">
        <f t="shared" si="129"/>
        <v>7.7465436005327959</v>
      </c>
      <c r="BM202" s="200"/>
      <c r="BN202" s="72"/>
      <c r="BO202" s="276">
        <f t="shared" si="130"/>
        <v>0</v>
      </c>
      <c r="BP202" s="67">
        <f t="shared" si="130"/>
        <v>0</v>
      </c>
      <c r="BQ202" s="67">
        <f t="shared" si="130"/>
        <v>0</v>
      </c>
      <c r="BR202" s="190"/>
      <c r="BS202" s="190"/>
      <c r="BT202" s="73"/>
      <c r="BU202" s="73"/>
    </row>
    <row r="203" spans="1:73" s="14" customFormat="1" x14ac:dyDescent="0.25">
      <c r="A203" s="13"/>
      <c r="B203" s="59" t="s">
        <v>246</v>
      </c>
      <c r="C203" s="60">
        <v>5</v>
      </c>
      <c r="D203" s="61">
        <v>5</v>
      </c>
      <c r="E203" s="61">
        <v>5</v>
      </c>
      <c r="F203" s="145"/>
      <c r="G203" s="62"/>
      <c r="H203" s="60">
        <v>164</v>
      </c>
      <c r="I203" s="61">
        <v>156</v>
      </c>
      <c r="J203" s="61">
        <v>156</v>
      </c>
      <c r="K203" s="145"/>
      <c r="L203" s="62"/>
      <c r="M203" s="60">
        <v>8</v>
      </c>
      <c r="N203" s="61">
        <v>18</v>
      </c>
      <c r="O203" s="61">
        <v>24</v>
      </c>
      <c r="P203" s="145"/>
      <c r="Q203" s="62"/>
      <c r="R203" s="60">
        <v>3</v>
      </c>
      <c r="S203" s="61">
        <v>4</v>
      </c>
      <c r="T203" s="61">
        <v>4</v>
      </c>
      <c r="U203" s="61">
        <v>2</v>
      </c>
      <c r="V203" s="61">
        <v>0</v>
      </c>
      <c r="W203" s="145"/>
      <c r="X203" s="62"/>
      <c r="Y203" s="60"/>
      <c r="Z203" s="61">
        <v>23.95</v>
      </c>
      <c r="AA203" s="63">
        <v>23.95</v>
      </c>
      <c r="AB203" s="145">
        <v>23.95</v>
      </c>
      <c r="AC203" s="61">
        <v>23.95</v>
      </c>
      <c r="AD203" s="152"/>
      <c r="AE203" s="64"/>
      <c r="AF203" s="270">
        <v>41064</v>
      </c>
      <c r="AG203" s="65">
        <v>45284</v>
      </c>
      <c r="AH203" s="65">
        <v>59427</v>
      </c>
      <c r="AI203" s="65">
        <v>61498</v>
      </c>
      <c r="AJ203" s="65">
        <v>57114</v>
      </c>
      <c r="AK203" s="196"/>
      <c r="AL203" s="66"/>
      <c r="AM203" s="270">
        <v>572</v>
      </c>
      <c r="AN203" s="65">
        <v>965</v>
      </c>
      <c r="AO203" s="65">
        <v>915</v>
      </c>
      <c r="AP203" s="65">
        <v>5266</v>
      </c>
      <c r="AQ203" s="65">
        <v>6691</v>
      </c>
      <c r="AR203" s="196"/>
      <c r="AS203" s="66"/>
      <c r="AT203" s="276">
        <f t="shared" si="123"/>
        <v>1.3929475939996104E-2</v>
      </c>
      <c r="AU203" s="67">
        <f t="shared" si="124"/>
        <v>2.1309954950976061E-2</v>
      </c>
      <c r="AV203" s="67">
        <f t="shared" si="125"/>
        <v>1.5397041748700087E-2</v>
      </c>
      <c r="AW203" s="67">
        <f t="shared" si="126"/>
        <v>8.5628800936615831E-2</v>
      </c>
      <c r="AX203" s="67">
        <f t="shared" si="127"/>
        <v>0.11715166158910249</v>
      </c>
      <c r="AY203" s="190"/>
      <c r="AZ203" s="68"/>
      <c r="BA203" s="276" t="s">
        <v>226</v>
      </c>
      <c r="BB203" s="69">
        <f t="shared" si="117"/>
        <v>0.73804790109799567</v>
      </c>
      <c r="BC203" s="69">
        <f t="shared" si="118"/>
        <v>0.14675658087039828</v>
      </c>
      <c r="BD203" s="69">
        <f t="shared" si="119"/>
        <v>7.1699324996619724</v>
      </c>
      <c r="BE203" s="69">
        <f t="shared" si="128"/>
        <v>10.322218564910639</v>
      </c>
      <c r="BF203" s="199"/>
      <c r="BG203" s="70"/>
      <c r="BH203" s="60" t="s">
        <v>226</v>
      </c>
      <c r="BI203" s="71">
        <f t="shared" si="120"/>
        <v>0.73804790109799567</v>
      </c>
      <c r="BJ203" s="71">
        <f t="shared" si="121"/>
        <v>-0.59129132022759745</v>
      </c>
      <c r="BK203" s="71">
        <f t="shared" si="122"/>
        <v>7.0231759187915745</v>
      </c>
      <c r="BL203" s="71">
        <f t="shared" si="129"/>
        <v>3.1522860652486662</v>
      </c>
      <c r="BM203" s="200"/>
      <c r="BN203" s="72"/>
      <c r="BO203" s="276">
        <f t="shared" si="130"/>
        <v>0.5</v>
      </c>
      <c r="BP203" s="67">
        <f t="shared" si="130"/>
        <v>0.1111111111111111</v>
      </c>
      <c r="BQ203" s="67">
        <f t="shared" si="130"/>
        <v>0</v>
      </c>
      <c r="BR203" s="190"/>
      <c r="BS203" s="190"/>
      <c r="BT203" s="73"/>
      <c r="BU203" s="73"/>
    </row>
    <row r="204" spans="1:73" s="11" customFormat="1" x14ac:dyDescent="0.25">
      <c r="A204" s="10"/>
      <c r="B204" s="33" t="s">
        <v>247</v>
      </c>
      <c r="C204" s="34">
        <v>3</v>
      </c>
      <c r="D204" s="35">
        <v>3</v>
      </c>
      <c r="E204" s="35">
        <v>3</v>
      </c>
      <c r="F204" s="93"/>
      <c r="G204" s="36"/>
      <c r="H204" s="34">
        <v>36</v>
      </c>
      <c r="I204" s="35">
        <v>34</v>
      </c>
      <c r="J204" s="35">
        <v>30</v>
      </c>
      <c r="K204" s="93"/>
      <c r="L204" s="36"/>
      <c r="M204" s="34">
        <v>1</v>
      </c>
      <c r="N204" s="35">
        <v>4</v>
      </c>
      <c r="O204" s="35">
        <v>6</v>
      </c>
      <c r="P204" s="93"/>
      <c r="Q204" s="36"/>
      <c r="R204" s="34">
        <v>0</v>
      </c>
      <c r="S204" s="35">
        <v>0</v>
      </c>
      <c r="T204" s="35">
        <v>0</v>
      </c>
      <c r="U204" s="35">
        <v>0</v>
      </c>
      <c r="V204" s="35">
        <v>0</v>
      </c>
      <c r="W204" s="93"/>
      <c r="X204" s="36"/>
      <c r="Y204" s="34" t="s">
        <v>95</v>
      </c>
      <c r="Z204" s="35" t="s">
        <v>95</v>
      </c>
      <c r="AA204" s="89" t="s">
        <v>95</v>
      </c>
      <c r="AB204" s="93" t="s">
        <v>95</v>
      </c>
      <c r="AC204" s="35" t="s">
        <v>95</v>
      </c>
      <c r="AD204" s="154"/>
      <c r="AE204" s="90"/>
      <c r="AF204" s="38">
        <v>3570</v>
      </c>
      <c r="AG204" s="39">
        <v>3937</v>
      </c>
      <c r="AH204" s="39">
        <v>5167</v>
      </c>
      <c r="AI204" s="39">
        <v>5347</v>
      </c>
      <c r="AJ204" s="39">
        <v>4966</v>
      </c>
      <c r="AK204" s="182"/>
      <c r="AL204" s="40"/>
      <c r="AM204" s="38">
        <v>49</v>
      </c>
      <c r="AN204" s="39">
        <v>83</v>
      </c>
      <c r="AO204" s="39">
        <v>79</v>
      </c>
      <c r="AP204" s="39">
        <v>457</v>
      </c>
      <c r="AQ204" s="39">
        <v>581</v>
      </c>
      <c r="AR204" s="182"/>
      <c r="AS204" s="40"/>
      <c r="AT204" s="41">
        <f t="shared" si="123"/>
        <v>1.3725490196078431E-2</v>
      </c>
      <c r="AU204" s="42">
        <f t="shared" si="124"/>
        <v>2.1082042164084328E-2</v>
      </c>
      <c r="AV204" s="42">
        <f t="shared" si="125"/>
        <v>1.5289336171859879E-2</v>
      </c>
      <c r="AW204" s="42">
        <f t="shared" si="126"/>
        <v>8.5468487002057225E-2</v>
      </c>
      <c r="AX204" s="42">
        <f t="shared" si="127"/>
        <v>0.11699556987515103</v>
      </c>
      <c r="AY204" s="183"/>
      <c r="AZ204" s="43"/>
      <c r="BA204" s="41" t="s">
        <v>226</v>
      </c>
      <c r="BB204" s="44">
        <f t="shared" si="117"/>
        <v>0.73565519680058966</v>
      </c>
      <c r="BC204" s="44">
        <f t="shared" si="118"/>
        <v>0.15638459757814482</v>
      </c>
      <c r="BD204" s="44">
        <f t="shared" si="119"/>
        <v>7.1742996805978789</v>
      </c>
      <c r="BE204" s="44">
        <f t="shared" si="128"/>
        <v>10.327007967907258</v>
      </c>
      <c r="BF204" s="184"/>
      <c r="BG204" s="45"/>
      <c r="BH204" s="34" t="s">
        <v>226</v>
      </c>
      <c r="BI204" s="46">
        <f t="shared" si="120"/>
        <v>0.73565519680058966</v>
      </c>
      <c r="BJ204" s="46">
        <f t="shared" si="121"/>
        <v>-0.57927059922244484</v>
      </c>
      <c r="BK204" s="46">
        <f t="shared" si="122"/>
        <v>7.0179150830197354</v>
      </c>
      <c r="BL204" s="46">
        <f t="shared" si="129"/>
        <v>3.1527082873093804</v>
      </c>
      <c r="BM204" s="185"/>
      <c r="BN204" s="47"/>
      <c r="BO204" s="41">
        <f t="shared" si="130"/>
        <v>0</v>
      </c>
      <c r="BP204" s="42">
        <f t="shared" si="130"/>
        <v>0</v>
      </c>
      <c r="BQ204" s="42">
        <f t="shared" si="130"/>
        <v>0</v>
      </c>
      <c r="BR204" s="183"/>
      <c r="BS204" s="183"/>
      <c r="BT204" s="48"/>
      <c r="BU204" s="48"/>
    </row>
    <row r="205" spans="1:73" s="14" customFormat="1" x14ac:dyDescent="0.25">
      <c r="A205" s="13"/>
      <c r="B205" s="59" t="s">
        <v>366</v>
      </c>
      <c r="C205" s="60"/>
      <c r="D205" s="61"/>
      <c r="E205" s="61"/>
      <c r="F205" s="145">
        <v>1</v>
      </c>
      <c r="G205" s="62"/>
      <c r="H205" s="60"/>
      <c r="I205" s="61"/>
      <c r="J205" s="61"/>
      <c r="K205" s="145">
        <v>189</v>
      </c>
      <c r="L205" s="62"/>
      <c r="M205" s="60"/>
      <c r="N205" s="61"/>
      <c r="O205" s="61"/>
      <c r="P205" s="145">
        <v>65</v>
      </c>
      <c r="Q205" s="62"/>
      <c r="R205" s="60"/>
      <c r="S205" s="61"/>
      <c r="T205" s="61"/>
      <c r="U205" s="61"/>
      <c r="V205" s="61"/>
      <c r="W205" s="145">
        <v>7</v>
      </c>
      <c r="X205" s="62"/>
      <c r="Y205" s="60"/>
      <c r="Z205" s="61"/>
      <c r="AA205" s="63"/>
      <c r="AB205" s="145"/>
      <c r="AC205" s="61"/>
      <c r="AD205" s="152">
        <v>27.16</v>
      </c>
      <c r="AE205" s="64"/>
      <c r="AF205" s="270"/>
      <c r="AG205" s="65"/>
      <c r="AH205" s="65"/>
      <c r="AI205" s="65"/>
      <c r="AJ205" s="65"/>
      <c r="AK205" s="196">
        <v>68750.69</v>
      </c>
      <c r="AL205" s="66"/>
      <c r="AM205" s="270"/>
      <c r="AN205" s="65"/>
      <c r="AO205" s="65"/>
      <c r="AP205" s="65"/>
      <c r="AQ205" s="65"/>
      <c r="AR205" s="196">
        <v>9290.66</v>
      </c>
      <c r="AS205" s="66"/>
      <c r="AT205" s="276"/>
      <c r="AU205" s="67"/>
      <c r="AV205" s="67"/>
      <c r="AW205" s="67"/>
      <c r="AX205" s="67"/>
      <c r="AY205" s="190">
        <f t="shared" ref="AY205:AY249" si="131">AR205/AK205</f>
        <v>0.13513551645808936</v>
      </c>
      <c r="AZ205" s="68"/>
      <c r="BA205" s="276"/>
      <c r="BB205" s="69"/>
      <c r="BC205" s="69"/>
      <c r="BD205" s="69"/>
      <c r="BE205" s="69"/>
      <c r="BF205" s="199"/>
      <c r="BG205" s="70"/>
      <c r="BH205" s="60"/>
      <c r="BI205" s="71"/>
      <c r="BJ205" s="71"/>
      <c r="BK205" s="71"/>
      <c r="BL205" s="71"/>
      <c r="BM205" s="200"/>
      <c r="BN205" s="72"/>
      <c r="BO205" s="276"/>
      <c r="BP205" s="67"/>
      <c r="BQ205" s="67"/>
      <c r="BR205" s="190">
        <f>W205/P205</f>
        <v>0.1076923076923077</v>
      </c>
      <c r="BS205" s="190"/>
      <c r="BT205" s="73"/>
      <c r="BU205" s="73"/>
    </row>
    <row r="206" spans="1:73" s="11" customFormat="1" x14ac:dyDescent="0.25">
      <c r="A206" s="10"/>
      <c r="B206" s="33" t="s">
        <v>245</v>
      </c>
      <c r="C206" s="34">
        <v>2</v>
      </c>
      <c r="D206" s="35">
        <v>2</v>
      </c>
      <c r="E206" s="35">
        <v>2</v>
      </c>
      <c r="F206" s="93">
        <v>2</v>
      </c>
      <c r="G206" s="36"/>
      <c r="H206" s="34">
        <v>11</v>
      </c>
      <c r="I206" s="35">
        <v>11</v>
      </c>
      <c r="J206" s="35">
        <v>11</v>
      </c>
      <c r="K206" s="93">
        <v>12</v>
      </c>
      <c r="L206" s="36"/>
      <c r="M206" s="34">
        <v>1</v>
      </c>
      <c r="N206" s="35">
        <v>1</v>
      </c>
      <c r="O206" s="35">
        <v>3</v>
      </c>
      <c r="P206" s="93">
        <v>3</v>
      </c>
      <c r="Q206" s="36"/>
      <c r="R206" s="34">
        <v>0</v>
      </c>
      <c r="S206" s="35">
        <v>0</v>
      </c>
      <c r="T206" s="35">
        <v>0</v>
      </c>
      <c r="U206" s="35">
        <v>0</v>
      </c>
      <c r="V206" s="35">
        <v>0</v>
      </c>
      <c r="W206" s="93">
        <v>0</v>
      </c>
      <c r="X206" s="36"/>
      <c r="Y206" s="34"/>
      <c r="Z206" s="35" t="s">
        <v>94</v>
      </c>
      <c r="AA206" s="89"/>
      <c r="AB206" s="93"/>
      <c r="AC206" s="35"/>
      <c r="AD206" s="93" t="s">
        <v>368</v>
      </c>
      <c r="AE206" s="36"/>
      <c r="AF206" s="38"/>
      <c r="AG206" s="39"/>
      <c r="AH206" s="39">
        <v>1299</v>
      </c>
      <c r="AI206" s="39">
        <v>1629</v>
      </c>
      <c r="AJ206" s="39">
        <v>1815</v>
      </c>
      <c r="AK206" s="182">
        <v>3650</v>
      </c>
      <c r="AL206" s="40"/>
      <c r="AM206" s="38"/>
      <c r="AN206" s="39"/>
      <c r="AO206" s="39">
        <v>78</v>
      </c>
      <c r="AP206" s="39">
        <v>97</v>
      </c>
      <c r="AQ206" s="39">
        <v>132</v>
      </c>
      <c r="AR206" s="182">
        <v>233</v>
      </c>
      <c r="AS206" s="40"/>
      <c r="AT206" s="41"/>
      <c r="AU206" s="42"/>
      <c r="AV206" s="42">
        <f t="shared" si="125"/>
        <v>6.0046189376443418E-2</v>
      </c>
      <c r="AW206" s="42">
        <f t="shared" si="126"/>
        <v>5.9545733578882751E-2</v>
      </c>
      <c r="AX206" s="42">
        <f t="shared" si="127"/>
        <v>7.2727272727272724E-2</v>
      </c>
      <c r="AY206" s="183">
        <f t="shared" si="131"/>
        <v>6.3835616438356169E-2</v>
      </c>
      <c r="AZ206" s="43"/>
      <c r="BA206" s="41" t="s">
        <v>226</v>
      </c>
      <c r="BB206" s="44"/>
      <c r="BC206" s="44"/>
      <c r="BD206" s="44"/>
      <c r="BE206" s="44"/>
      <c r="BF206" s="184"/>
      <c r="BG206" s="45"/>
      <c r="BH206" s="34" t="s">
        <v>226</v>
      </c>
      <c r="BI206" s="46"/>
      <c r="BJ206" s="46"/>
      <c r="BK206" s="46">
        <f t="shared" si="122"/>
        <v>-5.0045579756066716E-2</v>
      </c>
      <c r="BL206" s="46">
        <f t="shared" ref="BL206:BL211" si="132">(AX206-AW206)*100</f>
        <v>1.3181539148389974</v>
      </c>
      <c r="BM206" s="185">
        <f t="shared" si="89"/>
        <v>-0.88916562889165551</v>
      </c>
      <c r="BN206" s="47"/>
      <c r="BO206" s="41">
        <f t="shared" ref="BO206:BQ211" si="133">T206/M206</f>
        <v>0</v>
      </c>
      <c r="BP206" s="42">
        <f t="shared" si="133"/>
        <v>0</v>
      </c>
      <c r="BQ206" s="42">
        <f t="shared" si="133"/>
        <v>0</v>
      </c>
      <c r="BR206" s="183">
        <f>W206/P206</f>
        <v>0</v>
      </c>
      <c r="BS206" s="183"/>
      <c r="BT206" s="48"/>
      <c r="BU206" s="48"/>
    </row>
    <row r="207" spans="1:73" s="14" customFormat="1" x14ac:dyDescent="0.25">
      <c r="A207" s="13"/>
      <c r="B207" s="59" t="s">
        <v>248</v>
      </c>
      <c r="C207" s="60">
        <v>8</v>
      </c>
      <c r="D207" s="61">
        <v>8</v>
      </c>
      <c r="E207" s="61">
        <v>8</v>
      </c>
      <c r="F207" s="145">
        <v>8</v>
      </c>
      <c r="G207" s="62"/>
      <c r="H207" s="60">
        <v>244</v>
      </c>
      <c r="I207" s="61">
        <v>244</v>
      </c>
      <c r="J207" s="61">
        <v>244</v>
      </c>
      <c r="K207" s="145">
        <v>0</v>
      </c>
      <c r="L207" s="62"/>
      <c r="M207" s="60">
        <v>29</v>
      </c>
      <c r="N207" s="61">
        <v>38</v>
      </c>
      <c r="O207" s="61">
        <v>46</v>
      </c>
      <c r="P207" s="145">
        <v>44</v>
      </c>
      <c r="Q207" s="62"/>
      <c r="R207" s="60">
        <v>1</v>
      </c>
      <c r="S207" s="61">
        <v>0</v>
      </c>
      <c r="T207" s="61">
        <v>0</v>
      </c>
      <c r="U207" s="61">
        <v>4</v>
      </c>
      <c r="V207" s="61">
        <v>1</v>
      </c>
      <c r="W207" s="145">
        <v>1</v>
      </c>
      <c r="X207" s="62"/>
      <c r="Y207" s="60">
        <v>19.809999999999999</v>
      </c>
      <c r="Z207" s="61">
        <v>19.809999999999999</v>
      </c>
      <c r="AA207" s="63">
        <v>19.809999999999999</v>
      </c>
      <c r="AB207" s="145">
        <v>19.809999999999999</v>
      </c>
      <c r="AC207" s="61">
        <v>19.809999999999999</v>
      </c>
      <c r="AD207" s="152">
        <v>26.77</v>
      </c>
      <c r="AE207" s="64"/>
      <c r="AF207" s="270">
        <v>34516</v>
      </c>
      <c r="AG207" s="65">
        <v>37826</v>
      </c>
      <c r="AH207" s="65">
        <v>35750</v>
      </c>
      <c r="AI207" s="65">
        <v>41009</v>
      </c>
      <c r="AJ207" s="65">
        <v>40005</v>
      </c>
      <c r="AK207" s="196">
        <v>33111</v>
      </c>
      <c r="AL207" s="66"/>
      <c r="AM207" s="270">
        <v>4088</v>
      </c>
      <c r="AN207" s="65">
        <v>4018</v>
      </c>
      <c r="AO207" s="65">
        <v>4207</v>
      </c>
      <c r="AP207" s="65">
        <v>6902</v>
      </c>
      <c r="AQ207" s="65">
        <v>12418</v>
      </c>
      <c r="AR207" s="196">
        <v>12054</v>
      </c>
      <c r="AS207" s="66"/>
      <c r="AT207" s="276">
        <f t="shared" si="123"/>
        <v>0.11843782593579789</v>
      </c>
      <c r="AU207" s="67">
        <f t="shared" si="124"/>
        <v>0.10622323269708665</v>
      </c>
      <c r="AV207" s="67">
        <f t="shared" si="125"/>
        <v>0.11767832167832168</v>
      </c>
      <c r="AW207" s="67">
        <f t="shared" si="126"/>
        <v>0.1683045185203248</v>
      </c>
      <c r="AX207" s="67">
        <f t="shared" si="127"/>
        <v>0.31041119860017496</v>
      </c>
      <c r="AY207" s="190">
        <f t="shared" si="131"/>
        <v>0.36404820150403189</v>
      </c>
      <c r="AZ207" s="68"/>
      <c r="BA207" s="276" t="s">
        <v>226</v>
      </c>
      <c r="BB207" s="69">
        <f t="shared" si="117"/>
        <v>-1.221459323871124</v>
      </c>
      <c r="BC207" s="69">
        <f t="shared" si="118"/>
        <v>-7.5950425747621508E-2</v>
      </c>
      <c r="BD207" s="69">
        <f t="shared" si="119"/>
        <v>4.9866692584526904</v>
      </c>
      <c r="BE207" s="69">
        <f>(AX207-$AT207)*100</f>
        <v>19.197337266437707</v>
      </c>
      <c r="BF207" s="199">
        <f t="shared" si="88"/>
        <v>24.561037556823401</v>
      </c>
      <c r="BG207" s="70"/>
      <c r="BH207" s="60" t="s">
        <v>226</v>
      </c>
      <c r="BI207" s="71">
        <f t="shared" si="120"/>
        <v>-1.221459323871124</v>
      </c>
      <c r="BJ207" s="71">
        <f t="shared" si="121"/>
        <v>1.1455088981235027</v>
      </c>
      <c r="BK207" s="71">
        <f t="shared" si="122"/>
        <v>5.0626196842003122</v>
      </c>
      <c r="BL207" s="71">
        <f t="shared" si="132"/>
        <v>14.210668007985017</v>
      </c>
      <c r="BM207" s="200">
        <f t="shared" si="89"/>
        <v>5.3637002903856921</v>
      </c>
      <c r="BN207" s="72"/>
      <c r="BO207" s="276">
        <f t="shared" si="133"/>
        <v>0</v>
      </c>
      <c r="BP207" s="67">
        <f t="shared" si="133"/>
        <v>0.10526315789473684</v>
      </c>
      <c r="BQ207" s="67">
        <f t="shared" si="133"/>
        <v>2.1739130434782608E-2</v>
      </c>
      <c r="BR207" s="190">
        <f>W207/P207</f>
        <v>2.2727272727272728E-2</v>
      </c>
      <c r="BS207" s="190"/>
      <c r="BT207" s="73"/>
      <c r="BU207" s="73"/>
    </row>
    <row r="208" spans="1:73" s="14" customFormat="1" x14ac:dyDescent="0.25">
      <c r="A208" s="13"/>
      <c r="B208" s="59" t="s">
        <v>249</v>
      </c>
      <c r="C208" s="60">
        <v>0</v>
      </c>
      <c r="D208" s="61">
        <v>0</v>
      </c>
      <c r="E208" s="61">
        <v>0</v>
      </c>
      <c r="F208" s="145"/>
      <c r="G208" s="62"/>
      <c r="H208" s="60">
        <v>159</v>
      </c>
      <c r="I208" s="61">
        <v>159</v>
      </c>
      <c r="J208" s="61">
        <v>159</v>
      </c>
      <c r="K208" s="145"/>
      <c r="L208" s="62"/>
      <c r="M208" s="60">
        <v>40</v>
      </c>
      <c r="N208" s="61">
        <v>62</v>
      </c>
      <c r="O208" s="61">
        <v>73</v>
      </c>
      <c r="P208" s="145"/>
      <c r="Q208" s="62"/>
      <c r="R208" s="60">
        <v>0</v>
      </c>
      <c r="S208" s="61">
        <v>0</v>
      </c>
      <c r="T208" s="61">
        <v>0</v>
      </c>
      <c r="U208" s="61">
        <v>0</v>
      </c>
      <c r="V208" s="61">
        <v>0</v>
      </c>
      <c r="W208" s="145"/>
      <c r="X208" s="62"/>
      <c r="Y208" s="60">
        <v>27.39</v>
      </c>
      <c r="Z208" s="61">
        <v>27.39</v>
      </c>
      <c r="AA208" s="63">
        <v>27.39</v>
      </c>
      <c r="AB208" s="145">
        <v>27.39</v>
      </c>
      <c r="AC208" s="61">
        <v>27.39</v>
      </c>
      <c r="AD208" s="152"/>
      <c r="AE208" s="64"/>
      <c r="AF208" s="270">
        <v>26507</v>
      </c>
      <c r="AG208" s="65">
        <v>24724</v>
      </c>
      <c r="AH208" s="65">
        <v>31791</v>
      </c>
      <c r="AI208" s="65">
        <v>38009</v>
      </c>
      <c r="AJ208" s="65">
        <v>34819</v>
      </c>
      <c r="AK208" s="196"/>
      <c r="AL208" s="66"/>
      <c r="AM208" s="270">
        <v>8696</v>
      </c>
      <c r="AN208" s="65">
        <v>8741</v>
      </c>
      <c r="AO208" s="65">
        <v>8164</v>
      </c>
      <c r="AP208" s="65">
        <v>16590</v>
      </c>
      <c r="AQ208" s="65">
        <v>21904</v>
      </c>
      <c r="AR208" s="196"/>
      <c r="AS208" s="66"/>
      <c r="AT208" s="276">
        <f t="shared" si="123"/>
        <v>0.32806428490587392</v>
      </c>
      <c r="AU208" s="67">
        <f t="shared" si="124"/>
        <v>0.35354311600064714</v>
      </c>
      <c r="AV208" s="67">
        <f t="shared" si="125"/>
        <v>0.25680223962756754</v>
      </c>
      <c r="AW208" s="67">
        <f t="shared" si="126"/>
        <v>0.43647557157515326</v>
      </c>
      <c r="AX208" s="67">
        <f t="shared" si="127"/>
        <v>0.62908182314253713</v>
      </c>
      <c r="AY208" s="190"/>
      <c r="AZ208" s="68"/>
      <c r="BA208" s="276" t="s">
        <v>226</v>
      </c>
      <c r="BB208" s="69">
        <f t="shared" si="117"/>
        <v>2.5478831094773224</v>
      </c>
      <c r="BC208" s="69">
        <f t="shared" si="118"/>
        <v>-7.1262045278306374</v>
      </c>
      <c r="BD208" s="69">
        <f t="shared" si="119"/>
        <v>10.841128666927935</v>
      </c>
      <c r="BE208" s="69">
        <f>(AX208-$AT208)*100</f>
        <v>30.101753823666321</v>
      </c>
      <c r="BF208" s="199"/>
      <c r="BG208" s="70"/>
      <c r="BH208" s="60" t="s">
        <v>226</v>
      </c>
      <c r="BI208" s="71">
        <f t="shared" si="120"/>
        <v>2.5478831094773224</v>
      </c>
      <c r="BJ208" s="71">
        <f t="shared" si="121"/>
        <v>-9.6740876373079594</v>
      </c>
      <c r="BK208" s="71">
        <f t="shared" si="122"/>
        <v>17.967333194758574</v>
      </c>
      <c r="BL208" s="71">
        <f t="shared" si="132"/>
        <v>19.260625156738385</v>
      </c>
      <c r="BM208" s="200"/>
      <c r="BN208" s="72"/>
      <c r="BO208" s="276">
        <f t="shared" si="133"/>
        <v>0</v>
      </c>
      <c r="BP208" s="67">
        <f t="shared" si="133"/>
        <v>0</v>
      </c>
      <c r="BQ208" s="67">
        <f t="shared" si="133"/>
        <v>0</v>
      </c>
      <c r="BR208" s="190"/>
      <c r="BS208" s="190"/>
      <c r="BT208" s="73"/>
      <c r="BU208" s="73"/>
    </row>
    <row r="209" spans="1:73" s="14" customFormat="1" x14ac:dyDescent="0.25">
      <c r="A209" s="13"/>
      <c r="B209" s="59" t="s">
        <v>250</v>
      </c>
      <c r="C209" s="60">
        <v>0</v>
      </c>
      <c r="D209" s="61">
        <v>0</v>
      </c>
      <c r="E209" s="61">
        <v>0</v>
      </c>
      <c r="F209" s="145"/>
      <c r="G209" s="62"/>
      <c r="H209" s="60">
        <v>111</v>
      </c>
      <c r="I209" s="61">
        <v>111</v>
      </c>
      <c r="J209" s="61">
        <v>111</v>
      </c>
      <c r="K209" s="145"/>
      <c r="L209" s="62"/>
      <c r="M209" s="60">
        <v>32</v>
      </c>
      <c r="N209" s="61">
        <v>35</v>
      </c>
      <c r="O209" s="61">
        <v>45</v>
      </c>
      <c r="P209" s="145"/>
      <c r="Q209" s="62"/>
      <c r="R209" s="60">
        <v>0</v>
      </c>
      <c r="S209" s="61">
        <v>0</v>
      </c>
      <c r="T209" s="61">
        <v>0</v>
      </c>
      <c r="U209" s="61">
        <v>0</v>
      </c>
      <c r="V209" s="61">
        <v>0</v>
      </c>
      <c r="W209" s="145"/>
      <c r="X209" s="62"/>
      <c r="Y209" s="60">
        <v>27.39</v>
      </c>
      <c r="Z209" s="61">
        <v>27.39</v>
      </c>
      <c r="AA209" s="63">
        <v>27.39</v>
      </c>
      <c r="AB209" s="145">
        <v>27.39</v>
      </c>
      <c r="AC209" s="61">
        <v>27.39</v>
      </c>
      <c r="AD209" s="152"/>
      <c r="AE209" s="64"/>
      <c r="AF209" s="270">
        <v>13039</v>
      </c>
      <c r="AG209" s="65">
        <v>13350</v>
      </c>
      <c r="AH209" s="65">
        <v>16967</v>
      </c>
      <c r="AI209" s="65">
        <v>18615</v>
      </c>
      <c r="AJ209" s="65">
        <v>17787</v>
      </c>
      <c r="AK209" s="196"/>
      <c r="AL209" s="66"/>
      <c r="AM209" s="270">
        <v>4462</v>
      </c>
      <c r="AN209" s="65">
        <v>3442</v>
      </c>
      <c r="AO209" s="65">
        <v>4763</v>
      </c>
      <c r="AP209" s="65">
        <v>7407</v>
      </c>
      <c r="AQ209" s="65">
        <v>11121</v>
      </c>
      <c r="AR209" s="196"/>
      <c r="AS209" s="66"/>
      <c r="AT209" s="276">
        <f t="shared" si="123"/>
        <v>0.34220415676048777</v>
      </c>
      <c r="AU209" s="67">
        <f t="shared" si="124"/>
        <v>0.25782771535580523</v>
      </c>
      <c r="AV209" s="67">
        <f t="shared" si="125"/>
        <v>0.28072140036541521</v>
      </c>
      <c r="AW209" s="67">
        <f t="shared" si="126"/>
        <v>0.39790491539081385</v>
      </c>
      <c r="AX209" s="67">
        <f t="shared" si="127"/>
        <v>0.62523191094619668</v>
      </c>
      <c r="AY209" s="190"/>
      <c r="AZ209" s="68"/>
      <c r="BA209" s="276" t="s">
        <v>226</v>
      </c>
      <c r="BB209" s="69">
        <f t="shared" si="117"/>
        <v>-8.4376441404682527</v>
      </c>
      <c r="BC209" s="69">
        <f t="shared" si="118"/>
        <v>-6.148275639507256</v>
      </c>
      <c r="BD209" s="69">
        <f t="shared" si="119"/>
        <v>5.5700758630326082</v>
      </c>
      <c r="BE209" s="69">
        <f>(AX209-$AT209)*100</f>
        <v>28.302775418570892</v>
      </c>
      <c r="BF209" s="199"/>
      <c r="BG209" s="70"/>
      <c r="BH209" s="60" t="s">
        <v>226</v>
      </c>
      <c r="BI209" s="71">
        <f t="shared" si="120"/>
        <v>-8.4376441404682527</v>
      </c>
      <c r="BJ209" s="71">
        <f t="shared" si="121"/>
        <v>2.2893685009609976</v>
      </c>
      <c r="BK209" s="71">
        <f t="shared" si="122"/>
        <v>11.718351502539864</v>
      </c>
      <c r="BL209" s="71">
        <f t="shared" si="132"/>
        <v>22.732699555538282</v>
      </c>
      <c r="BM209" s="200"/>
      <c r="BN209" s="72"/>
      <c r="BO209" s="276">
        <f t="shared" si="133"/>
        <v>0</v>
      </c>
      <c r="BP209" s="67">
        <f t="shared" si="133"/>
        <v>0</v>
      </c>
      <c r="BQ209" s="67">
        <f t="shared" si="133"/>
        <v>0</v>
      </c>
      <c r="BR209" s="190"/>
      <c r="BS209" s="190"/>
      <c r="BT209" s="73"/>
      <c r="BU209" s="73"/>
    </row>
    <row r="210" spans="1:73" s="11" customFormat="1" ht="15.75" customHeight="1" x14ac:dyDescent="0.25">
      <c r="A210" s="10"/>
      <c r="B210" s="33" t="s">
        <v>251</v>
      </c>
      <c r="C210" s="34">
        <v>1</v>
      </c>
      <c r="D210" s="35">
        <v>1</v>
      </c>
      <c r="E210" s="35">
        <v>1</v>
      </c>
      <c r="F210" s="93">
        <v>1</v>
      </c>
      <c r="G210" s="36"/>
      <c r="H210" s="34">
        <v>18</v>
      </c>
      <c r="I210" s="35">
        <v>18</v>
      </c>
      <c r="J210" s="35">
        <v>18</v>
      </c>
      <c r="K210" s="93">
        <v>24</v>
      </c>
      <c r="L210" s="36"/>
      <c r="M210" s="34">
        <v>2</v>
      </c>
      <c r="N210" s="35">
        <v>6</v>
      </c>
      <c r="O210" s="35">
        <v>5</v>
      </c>
      <c r="P210" s="93">
        <v>12</v>
      </c>
      <c r="Q210" s="36"/>
      <c r="R210" s="34">
        <v>0</v>
      </c>
      <c r="S210" s="35">
        <v>0</v>
      </c>
      <c r="T210" s="35">
        <v>0</v>
      </c>
      <c r="U210" s="35">
        <v>0</v>
      </c>
      <c r="V210" s="35">
        <v>0</v>
      </c>
      <c r="W210" s="93">
        <v>2</v>
      </c>
      <c r="X210" s="36"/>
      <c r="Y210" s="34" t="s">
        <v>171</v>
      </c>
      <c r="Z210" s="35" t="s">
        <v>171</v>
      </c>
      <c r="AA210" s="89" t="s">
        <v>171</v>
      </c>
      <c r="AB210" s="93" t="s">
        <v>252</v>
      </c>
      <c r="AC210" s="155" t="s">
        <v>205</v>
      </c>
      <c r="AD210" s="259" t="s">
        <v>205</v>
      </c>
      <c r="AE210" s="94"/>
      <c r="AF210" s="38">
        <v>5167</v>
      </c>
      <c r="AG210" s="39">
        <v>7728</v>
      </c>
      <c r="AH210" s="39">
        <v>8461</v>
      </c>
      <c r="AI210" s="39">
        <v>10268</v>
      </c>
      <c r="AJ210" s="39">
        <v>7603</v>
      </c>
      <c r="AK210" s="182">
        <v>13864.98</v>
      </c>
      <c r="AL210" s="40"/>
      <c r="AM210" s="38">
        <v>0</v>
      </c>
      <c r="AN210" s="39">
        <v>1665</v>
      </c>
      <c r="AO210" s="39">
        <v>425</v>
      </c>
      <c r="AP210" s="39">
        <v>1776</v>
      </c>
      <c r="AQ210" s="39">
        <v>715</v>
      </c>
      <c r="AR210" s="182">
        <v>4969.97</v>
      </c>
      <c r="AS210" s="40"/>
      <c r="AT210" s="41">
        <f t="shared" si="123"/>
        <v>0</v>
      </c>
      <c r="AU210" s="42">
        <f t="shared" si="124"/>
        <v>0.21545031055900621</v>
      </c>
      <c r="AV210" s="42">
        <f t="shared" si="125"/>
        <v>5.0230469211677106E-2</v>
      </c>
      <c r="AW210" s="42">
        <f t="shared" si="126"/>
        <v>0.17296455005843397</v>
      </c>
      <c r="AX210" s="42">
        <f t="shared" si="127"/>
        <v>9.4041825595159806E-2</v>
      </c>
      <c r="AY210" s="183">
        <f t="shared" si="131"/>
        <v>0.35845489860064711</v>
      </c>
      <c r="AZ210" s="43"/>
      <c r="BA210" s="41" t="s">
        <v>226</v>
      </c>
      <c r="BB210" s="44">
        <f t="shared" si="117"/>
        <v>21.545031055900623</v>
      </c>
      <c r="BC210" s="44">
        <f t="shared" si="118"/>
        <v>5.0230469211677109</v>
      </c>
      <c r="BD210" s="44">
        <f t="shared" si="119"/>
        <v>17.296455005843399</v>
      </c>
      <c r="BE210" s="44">
        <f>(AX210-$AT210)*100</f>
        <v>9.4041825595159807</v>
      </c>
      <c r="BF210" s="184">
        <f>(AY210-$AT210)*100</f>
        <v>35.84548986006471</v>
      </c>
      <c r="BG210" s="45"/>
      <c r="BH210" s="34" t="s">
        <v>226</v>
      </c>
      <c r="BI210" s="46">
        <f t="shared" si="120"/>
        <v>21.545031055900623</v>
      </c>
      <c r="BJ210" s="46">
        <f t="shared" si="121"/>
        <v>-16.521984134732907</v>
      </c>
      <c r="BK210" s="46">
        <f t="shared" si="122"/>
        <v>12.273408084675687</v>
      </c>
      <c r="BL210" s="46">
        <f t="shared" si="132"/>
        <v>-7.892272446327417</v>
      </c>
      <c r="BM210" s="185">
        <f>(AY210-AX210)*100</f>
        <v>26.441307300548733</v>
      </c>
      <c r="BN210" s="47"/>
      <c r="BO210" s="41">
        <f t="shared" si="133"/>
        <v>0</v>
      </c>
      <c r="BP210" s="42">
        <f t="shared" si="133"/>
        <v>0</v>
      </c>
      <c r="BQ210" s="42">
        <f t="shared" si="133"/>
        <v>0</v>
      </c>
      <c r="BR210" s="183">
        <f>W210/P210</f>
        <v>0.16666666666666666</v>
      </c>
      <c r="BS210" s="183"/>
      <c r="BT210" s="48"/>
      <c r="BU210" s="48"/>
    </row>
    <row r="211" spans="1:73" s="14" customFormat="1" x14ac:dyDescent="0.25">
      <c r="A211" s="13"/>
      <c r="B211" s="59" t="s">
        <v>254</v>
      </c>
      <c r="C211" s="60">
        <v>6</v>
      </c>
      <c r="D211" s="61">
        <v>6</v>
      </c>
      <c r="E211" s="61">
        <v>6</v>
      </c>
      <c r="F211" s="145"/>
      <c r="G211" s="62"/>
      <c r="H211" s="60">
        <v>165</v>
      </c>
      <c r="I211" s="61">
        <v>165</v>
      </c>
      <c r="J211" s="61">
        <v>165</v>
      </c>
      <c r="K211" s="145"/>
      <c r="L211" s="62"/>
      <c r="M211" s="60">
        <v>34</v>
      </c>
      <c r="N211" s="61">
        <v>38</v>
      </c>
      <c r="O211" s="61">
        <v>59</v>
      </c>
      <c r="P211" s="145"/>
      <c r="Q211" s="62"/>
      <c r="R211" s="60">
        <v>0</v>
      </c>
      <c r="S211" s="61">
        <v>0</v>
      </c>
      <c r="T211" s="61">
        <v>0</v>
      </c>
      <c r="U211" s="61">
        <v>0</v>
      </c>
      <c r="V211" s="61">
        <v>0</v>
      </c>
      <c r="W211" s="145"/>
      <c r="X211" s="62"/>
      <c r="Y211" s="60">
        <v>35.03</v>
      </c>
      <c r="Z211" s="61">
        <v>35.03</v>
      </c>
      <c r="AA211" s="63">
        <v>35.03</v>
      </c>
      <c r="AB211" s="145">
        <v>35.03</v>
      </c>
      <c r="AC211" s="156">
        <v>35.03</v>
      </c>
      <c r="AD211" s="152"/>
      <c r="AE211" s="64"/>
      <c r="AF211" s="270">
        <v>36423</v>
      </c>
      <c r="AG211" s="65">
        <v>38742</v>
      </c>
      <c r="AH211" s="65">
        <v>44203</v>
      </c>
      <c r="AI211" s="65">
        <v>47541</v>
      </c>
      <c r="AJ211" s="65">
        <v>45208</v>
      </c>
      <c r="AK211" s="196"/>
      <c r="AL211" s="66"/>
      <c r="AM211" s="270">
        <v>4125</v>
      </c>
      <c r="AN211" s="65">
        <v>4521</v>
      </c>
      <c r="AO211" s="65">
        <v>6452</v>
      </c>
      <c r="AP211" s="65">
        <v>7624</v>
      </c>
      <c r="AQ211" s="65">
        <v>8137</v>
      </c>
      <c r="AR211" s="196"/>
      <c r="AS211" s="66"/>
      <c r="AT211" s="276">
        <f t="shared" si="123"/>
        <v>0.11325261510583971</v>
      </c>
      <c r="AU211" s="67">
        <f t="shared" si="124"/>
        <v>0.11669505962521294</v>
      </c>
      <c r="AV211" s="67">
        <f t="shared" si="125"/>
        <v>0.14596294369160465</v>
      </c>
      <c r="AW211" s="67">
        <f t="shared" si="126"/>
        <v>0.16036684125281336</v>
      </c>
      <c r="AX211" s="67">
        <f t="shared" si="127"/>
        <v>0.17999026720934347</v>
      </c>
      <c r="AY211" s="190"/>
      <c r="AZ211" s="68"/>
      <c r="BA211" s="276" t="s">
        <v>226</v>
      </c>
      <c r="BB211" s="69">
        <f t="shared" si="117"/>
        <v>0.34424445193732278</v>
      </c>
      <c r="BC211" s="69">
        <f t="shared" si="118"/>
        <v>3.2710328585764934</v>
      </c>
      <c r="BD211" s="69">
        <f t="shared" si="119"/>
        <v>4.7114226146973648</v>
      </c>
      <c r="BE211" s="69">
        <f>(AX211-$AT211)*100</f>
        <v>6.6737652103503757</v>
      </c>
      <c r="BF211" s="199"/>
      <c r="BG211" s="70"/>
      <c r="BH211" s="60" t="s">
        <v>226</v>
      </c>
      <c r="BI211" s="71">
        <f t="shared" si="120"/>
        <v>0.34424445193732278</v>
      </c>
      <c r="BJ211" s="71">
        <f t="shared" si="121"/>
        <v>2.9267884066391705</v>
      </c>
      <c r="BK211" s="71">
        <f t="shared" si="122"/>
        <v>1.4403897561208718</v>
      </c>
      <c r="BL211" s="71">
        <f t="shared" si="132"/>
        <v>1.9623425956530105</v>
      </c>
      <c r="BM211" s="200"/>
      <c r="BN211" s="72"/>
      <c r="BO211" s="276">
        <f t="shared" si="133"/>
        <v>0</v>
      </c>
      <c r="BP211" s="67">
        <f t="shared" si="133"/>
        <v>0</v>
      </c>
      <c r="BQ211" s="67">
        <f t="shared" si="133"/>
        <v>0</v>
      </c>
      <c r="BR211" s="190"/>
      <c r="BS211" s="190"/>
      <c r="BT211" s="73"/>
      <c r="BU211" s="73"/>
    </row>
    <row r="212" spans="1:73" s="14" customFormat="1" x14ac:dyDescent="0.25">
      <c r="A212" s="13"/>
      <c r="B212" s="59" t="s">
        <v>369</v>
      </c>
      <c r="C212" s="60"/>
      <c r="D212" s="61"/>
      <c r="E212" s="61"/>
      <c r="F212" s="145">
        <v>10</v>
      </c>
      <c r="G212" s="62"/>
      <c r="H212" s="60"/>
      <c r="I212" s="61"/>
      <c r="J212" s="61"/>
      <c r="K212" s="145">
        <v>130</v>
      </c>
      <c r="L212" s="62"/>
      <c r="M212" s="60"/>
      <c r="N212" s="61"/>
      <c r="O212" s="61"/>
      <c r="P212" s="145">
        <v>49</v>
      </c>
      <c r="Q212" s="62"/>
      <c r="R212" s="60"/>
      <c r="S212" s="61"/>
      <c r="T212" s="61"/>
      <c r="U212" s="61"/>
      <c r="V212" s="61"/>
      <c r="W212" s="145">
        <v>7</v>
      </c>
      <c r="X212" s="62"/>
      <c r="Y212" s="60"/>
      <c r="Z212" s="61"/>
      <c r="AA212" s="63"/>
      <c r="AB212" s="145"/>
      <c r="AC212" s="156"/>
      <c r="AD212" s="152"/>
      <c r="AE212" s="64"/>
      <c r="AF212" s="270"/>
      <c r="AG212" s="65"/>
      <c r="AH212" s="65"/>
      <c r="AI212" s="65"/>
      <c r="AJ212" s="65"/>
      <c r="AK212" s="196">
        <v>35014.400000000001</v>
      </c>
      <c r="AL212" s="66"/>
      <c r="AM212" s="270"/>
      <c r="AN212" s="65"/>
      <c r="AO212" s="65"/>
      <c r="AP212" s="65"/>
      <c r="AQ212" s="65"/>
      <c r="AR212" s="196">
        <v>9762.5499999999993</v>
      </c>
      <c r="AS212" s="66"/>
      <c r="AT212" s="276"/>
      <c r="AU212" s="67"/>
      <c r="AV212" s="67"/>
      <c r="AW212" s="67"/>
      <c r="AX212" s="67"/>
      <c r="AY212" s="190">
        <f t="shared" si="131"/>
        <v>0.27881528742460243</v>
      </c>
      <c r="AZ212" s="68"/>
      <c r="BA212" s="276"/>
      <c r="BB212" s="69"/>
      <c r="BC212" s="69"/>
      <c r="BD212" s="69"/>
      <c r="BE212" s="69"/>
      <c r="BF212" s="199"/>
      <c r="BG212" s="70"/>
      <c r="BH212" s="60"/>
      <c r="BI212" s="71"/>
      <c r="BJ212" s="71"/>
      <c r="BK212" s="71"/>
      <c r="BL212" s="71"/>
      <c r="BM212" s="200"/>
      <c r="BN212" s="72"/>
      <c r="BO212" s="276"/>
      <c r="BP212" s="67"/>
      <c r="BQ212" s="67"/>
      <c r="BR212" s="190">
        <f>W212/P212</f>
        <v>0.14285714285714285</v>
      </c>
      <c r="BS212" s="190"/>
      <c r="BT212" s="73"/>
      <c r="BU212" s="73"/>
    </row>
    <row r="213" spans="1:73" s="11" customFormat="1" x14ac:dyDescent="0.25">
      <c r="A213" s="10"/>
      <c r="B213" s="33" t="s">
        <v>255</v>
      </c>
      <c r="C213" s="34">
        <v>1</v>
      </c>
      <c r="D213" s="35">
        <v>1</v>
      </c>
      <c r="E213" s="35">
        <v>1</v>
      </c>
      <c r="F213" s="93"/>
      <c r="G213" s="36"/>
      <c r="H213" s="34">
        <v>36</v>
      </c>
      <c r="I213" s="35">
        <v>36</v>
      </c>
      <c r="J213" s="35">
        <v>36</v>
      </c>
      <c r="K213" s="93"/>
      <c r="L213" s="36"/>
      <c r="M213" s="34">
        <v>6</v>
      </c>
      <c r="N213" s="35">
        <v>12</v>
      </c>
      <c r="O213" s="35">
        <v>16</v>
      </c>
      <c r="P213" s="93"/>
      <c r="Q213" s="36"/>
      <c r="R213" s="34">
        <v>0</v>
      </c>
      <c r="S213" s="35">
        <v>0</v>
      </c>
      <c r="T213" s="35">
        <v>0</v>
      </c>
      <c r="U213" s="35">
        <v>0</v>
      </c>
      <c r="V213" s="35">
        <v>0</v>
      </c>
      <c r="W213" s="93"/>
      <c r="X213" s="36"/>
      <c r="Y213" s="34" t="s">
        <v>98</v>
      </c>
      <c r="Z213" s="35" t="s">
        <v>98</v>
      </c>
      <c r="AA213" s="89" t="s">
        <v>98</v>
      </c>
      <c r="AB213" s="93" t="s">
        <v>98</v>
      </c>
      <c r="AC213" s="155" t="s">
        <v>98</v>
      </c>
      <c r="AD213" s="154"/>
      <c r="AE213" s="90"/>
      <c r="AF213" s="38">
        <v>4241</v>
      </c>
      <c r="AG213" s="39">
        <v>4972</v>
      </c>
      <c r="AH213" s="39">
        <v>6347</v>
      </c>
      <c r="AI213" s="39">
        <v>6642</v>
      </c>
      <c r="AJ213" s="39">
        <v>6130</v>
      </c>
      <c r="AK213" s="182"/>
      <c r="AL213" s="40"/>
      <c r="AM213" s="38">
        <v>248</v>
      </c>
      <c r="AN213" s="39">
        <v>324</v>
      </c>
      <c r="AO213" s="39">
        <v>672</v>
      </c>
      <c r="AP213" s="39">
        <v>1235</v>
      </c>
      <c r="AQ213" s="39">
        <v>1420</v>
      </c>
      <c r="AR213" s="182"/>
      <c r="AS213" s="40"/>
      <c r="AT213" s="41">
        <f t="shared" si="123"/>
        <v>5.8476774345673194E-2</v>
      </c>
      <c r="AU213" s="42">
        <f t="shared" si="124"/>
        <v>6.5164923572003222E-2</v>
      </c>
      <c r="AV213" s="42">
        <f t="shared" si="125"/>
        <v>0.10587679218528438</v>
      </c>
      <c r="AW213" s="42">
        <f t="shared" si="126"/>
        <v>0.18593797049081601</v>
      </c>
      <c r="AX213" s="42">
        <f t="shared" si="127"/>
        <v>0.23164763458401305</v>
      </c>
      <c r="AY213" s="183"/>
      <c r="AZ213" s="43"/>
      <c r="BA213" s="41" t="s">
        <v>226</v>
      </c>
      <c r="BB213" s="44">
        <f t="shared" si="117"/>
        <v>0.66881492263300291</v>
      </c>
      <c r="BC213" s="44">
        <f t="shared" si="118"/>
        <v>4.7400017839611186</v>
      </c>
      <c r="BD213" s="44">
        <f t="shared" si="119"/>
        <v>12.746119614514281</v>
      </c>
      <c r="BE213" s="44">
        <f>(AX213-$AT213)*100</f>
        <v>17.317086023833987</v>
      </c>
      <c r="BF213" s="184"/>
      <c r="BG213" s="45"/>
      <c r="BH213" s="34" t="s">
        <v>226</v>
      </c>
      <c r="BI213" s="46">
        <f t="shared" si="120"/>
        <v>0.66881492263300291</v>
      </c>
      <c r="BJ213" s="46">
        <f t="shared" si="121"/>
        <v>4.0711868613281164</v>
      </c>
      <c r="BK213" s="46">
        <f t="shared" si="122"/>
        <v>8.006117830553162</v>
      </c>
      <c r="BL213" s="46">
        <f>(AX213-AW213)*100</f>
        <v>4.5709664093197047</v>
      </c>
      <c r="BM213" s="185"/>
      <c r="BN213" s="47"/>
      <c r="BO213" s="41">
        <f t="shared" ref="BO213:BO223" si="134">T213/M213</f>
        <v>0</v>
      </c>
      <c r="BP213" s="42">
        <f t="shared" ref="BP213:BP223" si="135">U213/N213</f>
        <v>0</v>
      </c>
      <c r="BQ213" s="42">
        <f t="shared" ref="BQ213:BQ223" si="136">V213/O213</f>
        <v>0</v>
      </c>
      <c r="BR213" s="183"/>
      <c r="BS213" s="183"/>
      <c r="BT213" s="48"/>
      <c r="BU213" s="48"/>
    </row>
    <row r="214" spans="1:73" s="14" customFormat="1" x14ac:dyDescent="0.25">
      <c r="A214" s="13">
        <v>97</v>
      </c>
      <c r="B214" s="59" t="s">
        <v>57</v>
      </c>
      <c r="C214" s="60">
        <v>17</v>
      </c>
      <c r="D214" s="61">
        <v>17</v>
      </c>
      <c r="E214" s="61">
        <v>17</v>
      </c>
      <c r="F214" s="145"/>
      <c r="G214" s="62">
        <v>18</v>
      </c>
      <c r="H214" s="60">
        <v>228</v>
      </c>
      <c r="I214" s="61">
        <v>230</v>
      </c>
      <c r="J214" s="61">
        <v>232</v>
      </c>
      <c r="K214" s="145"/>
      <c r="L214" s="62">
        <v>241</v>
      </c>
      <c r="M214" s="60">
        <v>20</v>
      </c>
      <c r="N214" s="61">
        <v>34</v>
      </c>
      <c r="O214" s="61">
        <v>36</v>
      </c>
      <c r="P214" s="145"/>
      <c r="Q214" s="62">
        <v>37</v>
      </c>
      <c r="R214" s="60">
        <v>5</v>
      </c>
      <c r="S214" s="61">
        <v>7</v>
      </c>
      <c r="T214" s="61">
        <v>8</v>
      </c>
      <c r="U214" s="61">
        <v>25</v>
      </c>
      <c r="V214" s="61">
        <v>12</v>
      </c>
      <c r="W214" s="145"/>
      <c r="X214" s="62">
        <v>32</v>
      </c>
      <c r="Y214" s="60" t="s">
        <v>127</v>
      </c>
      <c r="Z214" s="61" t="s">
        <v>134</v>
      </c>
      <c r="AA214" s="61" t="s">
        <v>219</v>
      </c>
      <c r="AB214" s="145" t="s">
        <v>219</v>
      </c>
      <c r="AC214" s="61" t="s">
        <v>219</v>
      </c>
      <c r="AD214" s="152"/>
      <c r="AE214" s="64">
        <v>24.19</v>
      </c>
      <c r="AF214" s="270"/>
      <c r="AG214" s="65"/>
      <c r="AH214" s="65"/>
      <c r="AI214" s="65"/>
      <c r="AJ214" s="65"/>
      <c r="AK214" s="196"/>
      <c r="AL214" s="66">
        <v>76992</v>
      </c>
      <c r="AM214" s="270"/>
      <c r="AN214" s="65"/>
      <c r="AO214" s="65"/>
      <c r="AP214" s="65"/>
      <c r="AQ214" s="65"/>
      <c r="AR214" s="196"/>
      <c r="AS214" s="66">
        <v>18331</v>
      </c>
      <c r="AT214" s="276"/>
      <c r="AU214" s="67"/>
      <c r="AV214" s="67"/>
      <c r="AW214" s="67"/>
      <c r="AX214" s="67"/>
      <c r="AY214" s="190"/>
      <c r="AZ214" s="68">
        <f t="shared" ref="AZ214:AZ249" si="137">AS214/AL214</f>
        <v>0.23808967165419784</v>
      </c>
      <c r="BA214" s="276" t="s">
        <v>226</v>
      </c>
      <c r="BB214" s="69"/>
      <c r="BC214" s="69"/>
      <c r="BD214" s="69"/>
      <c r="BE214" s="69"/>
      <c r="BF214" s="199"/>
      <c r="BG214" s="70"/>
      <c r="BH214" s="60" t="s">
        <v>226</v>
      </c>
      <c r="BI214" s="71"/>
      <c r="BJ214" s="71"/>
      <c r="BK214" s="71"/>
      <c r="BL214" s="71"/>
      <c r="BM214" s="200"/>
      <c r="BN214" s="72"/>
      <c r="BO214" s="276">
        <f t="shared" si="134"/>
        <v>0.4</v>
      </c>
      <c r="BP214" s="67">
        <f t="shared" si="135"/>
        <v>0.73529411764705888</v>
      </c>
      <c r="BQ214" s="67">
        <f t="shared" si="136"/>
        <v>0.33333333333333331</v>
      </c>
      <c r="BR214" s="190"/>
      <c r="BS214" s="190">
        <f t="shared" ref="BS214:BS219" si="138">X214/Q214</f>
        <v>0.86486486486486491</v>
      </c>
      <c r="BT214" s="73"/>
      <c r="BU214" s="73"/>
    </row>
    <row r="215" spans="1:73" s="9" customFormat="1" x14ac:dyDescent="0.25">
      <c r="A215" s="12">
        <v>98</v>
      </c>
      <c r="B215" s="17" t="s">
        <v>178</v>
      </c>
      <c r="C215" s="2">
        <v>69</v>
      </c>
      <c r="D215" s="3">
        <v>72</v>
      </c>
      <c r="E215" s="3">
        <v>73</v>
      </c>
      <c r="F215" s="144">
        <v>69</v>
      </c>
      <c r="G215" s="4">
        <v>69</v>
      </c>
      <c r="H215" s="2">
        <v>6</v>
      </c>
      <c r="I215" s="3">
        <v>6</v>
      </c>
      <c r="J215" s="3">
        <v>7</v>
      </c>
      <c r="K215" s="144">
        <v>2968</v>
      </c>
      <c r="L215" s="4">
        <v>2968</v>
      </c>
      <c r="M215" s="2">
        <v>634</v>
      </c>
      <c r="N215" s="3">
        <v>838</v>
      </c>
      <c r="O215" s="3">
        <v>896</v>
      </c>
      <c r="P215" s="144">
        <v>1247</v>
      </c>
      <c r="Q215" s="4">
        <v>974</v>
      </c>
      <c r="R215" s="2">
        <v>7</v>
      </c>
      <c r="S215" s="3">
        <v>0</v>
      </c>
      <c r="T215" s="3">
        <v>10</v>
      </c>
      <c r="U215" s="3">
        <v>8</v>
      </c>
      <c r="V215" s="3">
        <v>21</v>
      </c>
      <c r="W215" s="144">
        <v>31</v>
      </c>
      <c r="X215" s="4">
        <v>19</v>
      </c>
      <c r="Y215" s="2">
        <v>23.8</v>
      </c>
      <c r="Z215" s="3">
        <v>27.36</v>
      </c>
      <c r="AA215" s="3">
        <v>36.08</v>
      </c>
      <c r="AB215" s="144">
        <v>42.28</v>
      </c>
      <c r="AC215" s="3">
        <v>42.28</v>
      </c>
      <c r="AD215" s="153">
        <v>39.909999999999997</v>
      </c>
      <c r="AE215" s="86">
        <v>42.96</v>
      </c>
      <c r="AF215" s="19">
        <v>590498</v>
      </c>
      <c r="AG215" s="20">
        <v>549925</v>
      </c>
      <c r="AH215" s="20">
        <v>716375</v>
      </c>
      <c r="AI215" s="20">
        <v>1023699</v>
      </c>
      <c r="AJ215" s="20">
        <v>938308</v>
      </c>
      <c r="AK215" s="210">
        <v>1019207</v>
      </c>
      <c r="AL215" s="21">
        <v>1003304</v>
      </c>
      <c r="AM215" s="19">
        <v>126369</v>
      </c>
      <c r="AN215" s="20">
        <v>94665</v>
      </c>
      <c r="AO215" s="20">
        <v>123747</v>
      </c>
      <c r="AP215" s="20">
        <v>195094</v>
      </c>
      <c r="AQ215" s="20">
        <v>264167</v>
      </c>
      <c r="AR215" s="210">
        <v>155997</v>
      </c>
      <c r="AS215" s="21">
        <v>154617</v>
      </c>
      <c r="AT215" s="50">
        <f t="shared" si="102"/>
        <v>0.21400411178361314</v>
      </c>
      <c r="AU215" s="51">
        <f t="shared" si="103"/>
        <v>0.17214165568032005</v>
      </c>
      <c r="AV215" s="51">
        <f t="shared" si="104"/>
        <v>0.17274053393823066</v>
      </c>
      <c r="AW215" s="51">
        <f t="shared" si="105"/>
        <v>0.19057750373889201</v>
      </c>
      <c r="AX215" s="51">
        <f t="shared" si="106"/>
        <v>0.2815354872813618</v>
      </c>
      <c r="AY215" s="211">
        <f t="shared" si="131"/>
        <v>0.15305722978747202</v>
      </c>
      <c r="AZ215" s="52">
        <f t="shared" si="137"/>
        <v>0.15410782773715642</v>
      </c>
      <c r="BA215" s="50" t="s">
        <v>226</v>
      </c>
      <c r="BB215" s="53">
        <f t="shared" ref="BB215:BF221" si="139">(AU215-$AT215)*100</f>
        <v>-4.1862456103293084</v>
      </c>
      <c r="BC215" s="53">
        <f t="shared" si="139"/>
        <v>-4.1263577845382482</v>
      </c>
      <c r="BD215" s="53">
        <f t="shared" si="99"/>
        <v>-2.3426608044721133</v>
      </c>
      <c r="BE215" s="53">
        <f t="shared" si="100"/>
        <v>6.7531375497748654</v>
      </c>
      <c r="BF215" s="212">
        <f t="shared" ref="BF215:BF249" si="140">(AY215-$AT215)*100</f>
        <v>-6.0946881996141125</v>
      </c>
      <c r="BG215" s="54">
        <f t="shared" ref="BG215:BG249" si="141">(AZ215-$AT215)*100</f>
        <v>-5.9896284046456723</v>
      </c>
      <c r="BH215" s="2" t="s">
        <v>226</v>
      </c>
      <c r="BI215" s="55">
        <f t="shared" si="94"/>
        <v>-4.1862456103293084</v>
      </c>
      <c r="BJ215" s="55">
        <f t="shared" si="95"/>
        <v>5.9887825791060667E-2</v>
      </c>
      <c r="BK215" s="55">
        <f t="shared" si="96"/>
        <v>1.7836969800661351</v>
      </c>
      <c r="BL215" s="55">
        <f t="shared" si="97"/>
        <v>9.0957983542469787</v>
      </c>
      <c r="BM215" s="213">
        <f t="shared" ref="BM215:BM249" si="142">(AY215-AX215)*100</f>
        <v>-12.847825749388978</v>
      </c>
      <c r="BN215" s="56">
        <f t="shared" ref="BN215:BN249" si="143">(AZ215-AY215)*100</f>
        <v>0.10505979496844009</v>
      </c>
      <c r="BO215" s="50">
        <f t="shared" si="134"/>
        <v>1.5772870662460567E-2</v>
      </c>
      <c r="BP215" s="51">
        <f t="shared" si="135"/>
        <v>9.5465393794749408E-3</v>
      </c>
      <c r="BQ215" s="51">
        <f t="shared" si="136"/>
        <v>2.34375E-2</v>
      </c>
      <c r="BR215" s="211">
        <f>W215/P215</f>
        <v>2.4859663191659984E-2</v>
      </c>
      <c r="BS215" s="211">
        <f t="shared" si="138"/>
        <v>1.9507186858316223E-2</v>
      </c>
      <c r="BT215" s="57">
        <f t="shared" ref="BT215:BT249" si="144">(AE215-AD215)/AD215</f>
        <v>7.6421949386118876E-2</v>
      </c>
      <c r="BU215" s="57">
        <f>(Q215-P215)/P215</f>
        <v>-0.21892542101042503</v>
      </c>
    </row>
    <row r="216" spans="1:73" s="14" customFormat="1" x14ac:dyDescent="0.25">
      <c r="A216" s="13"/>
      <c r="B216" s="59" t="s">
        <v>186</v>
      </c>
      <c r="C216" s="60">
        <v>9</v>
      </c>
      <c r="D216" s="61">
        <v>9</v>
      </c>
      <c r="E216" s="61">
        <v>9</v>
      </c>
      <c r="F216" s="145">
        <v>0</v>
      </c>
      <c r="G216" s="62">
        <v>0</v>
      </c>
      <c r="H216" s="60">
        <v>207</v>
      </c>
      <c r="I216" s="61">
        <v>205</v>
      </c>
      <c r="J216" s="61">
        <v>198</v>
      </c>
      <c r="K216" s="145">
        <v>89</v>
      </c>
      <c r="L216" s="62">
        <v>90</v>
      </c>
      <c r="M216" s="60">
        <v>29</v>
      </c>
      <c r="N216" s="61">
        <v>38</v>
      </c>
      <c r="O216" s="61">
        <v>31</v>
      </c>
      <c r="P216" s="145">
        <v>30</v>
      </c>
      <c r="Q216" s="62">
        <v>29</v>
      </c>
      <c r="R216" s="60">
        <v>0</v>
      </c>
      <c r="S216" s="61">
        <v>0</v>
      </c>
      <c r="T216" s="61">
        <v>0</v>
      </c>
      <c r="U216" s="61">
        <v>0</v>
      </c>
      <c r="V216" s="61">
        <v>3</v>
      </c>
      <c r="W216" s="145">
        <v>4</v>
      </c>
      <c r="X216" s="62">
        <v>1</v>
      </c>
      <c r="Y216" s="60">
        <v>15.1</v>
      </c>
      <c r="Z216" s="61">
        <v>15.1</v>
      </c>
      <c r="AA216" s="61">
        <v>20.91</v>
      </c>
      <c r="AB216" s="145">
        <v>20.91</v>
      </c>
      <c r="AC216" s="61">
        <v>20.91</v>
      </c>
      <c r="AD216" s="63">
        <v>20.91</v>
      </c>
      <c r="AE216" s="64">
        <v>35.4</v>
      </c>
      <c r="AF216" s="270"/>
      <c r="AG216" s="65">
        <v>15508</v>
      </c>
      <c r="AH216" s="65">
        <v>22142</v>
      </c>
      <c r="AI216" s="65">
        <v>27128</v>
      </c>
      <c r="AJ216" s="65">
        <v>22905</v>
      </c>
      <c r="AK216" s="196">
        <v>20970.189999999999</v>
      </c>
      <c r="AL216" s="66">
        <v>24963.68</v>
      </c>
      <c r="AM216" s="270"/>
      <c r="AN216" s="65">
        <v>1267</v>
      </c>
      <c r="AO216" s="65">
        <v>3817</v>
      </c>
      <c r="AP216" s="65">
        <v>8997</v>
      </c>
      <c r="AQ216" s="65">
        <v>11444</v>
      </c>
      <c r="AR216" s="196">
        <v>10757.64</v>
      </c>
      <c r="AS216" s="66">
        <v>8708.57</v>
      </c>
      <c r="AT216" s="276"/>
      <c r="AU216" s="67">
        <f t="shared" si="103"/>
        <v>8.1699767861748776E-2</v>
      </c>
      <c r="AV216" s="67">
        <f t="shared" si="103"/>
        <v>0.17238731821876976</v>
      </c>
      <c r="AW216" s="67">
        <f t="shared" si="103"/>
        <v>0.33164995576526096</v>
      </c>
      <c r="AX216" s="67">
        <f t="shared" si="103"/>
        <v>0.49962890198646581</v>
      </c>
      <c r="AY216" s="190">
        <v>0.51</v>
      </c>
      <c r="AZ216" s="190">
        <f t="shared" si="137"/>
        <v>0.34884960871153609</v>
      </c>
      <c r="BA216" s="276" t="s">
        <v>226</v>
      </c>
      <c r="BB216" s="69">
        <f t="shared" si="139"/>
        <v>8.1699767861748782</v>
      </c>
      <c r="BC216" s="69">
        <f t="shared" si="139"/>
        <v>17.238731821876975</v>
      </c>
      <c r="BD216" s="69">
        <f t="shared" si="139"/>
        <v>33.164995576526096</v>
      </c>
      <c r="BE216" s="69">
        <f t="shared" si="139"/>
        <v>49.962890198646583</v>
      </c>
      <c r="BF216" s="199">
        <f t="shared" si="139"/>
        <v>51</v>
      </c>
      <c r="BG216" s="70">
        <f t="shared" si="141"/>
        <v>34.884960871153609</v>
      </c>
      <c r="BH216" s="60" t="s">
        <v>226</v>
      </c>
      <c r="BI216" s="71">
        <f t="shared" si="94"/>
        <v>8.1699767861748782</v>
      </c>
      <c r="BJ216" s="71">
        <f t="shared" si="94"/>
        <v>9.0687550357020985</v>
      </c>
      <c r="BK216" s="71">
        <f t="shared" si="94"/>
        <v>15.926263754649121</v>
      </c>
      <c r="BL216" s="71">
        <f t="shared" si="94"/>
        <v>16.797894622120484</v>
      </c>
      <c r="BM216" s="200">
        <f t="shared" si="94"/>
        <v>1.0371098013534197</v>
      </c>
      <c r="BN216" s="200">
        <f t="shared" si="143"/>
        <v>-16.115039128846391</v>
      </c>
      <c r="BO216" s="276">
        <f t="shared" si="134"/>
        <v>0</v>
      </c>
      <c r="BP216" s="67">
        <f t="shared" si="135"/>
        <v>0</v>
      </c>
      <c r="BQ216" s="67">
        <f t="shared" si="136"/>
        <v>9.6774193548387094E-2</v>
      </c>
      <c r="BR216" s="67">
        <f>W216/P216</f>
        <v>0.13333333333333333</v>
      </c>
      <c r="BS216" s="190">
        <f t="shared" si="138"/>
        <v>3.4482758620689655E-2</v>
      </c>
      <c r="BT216" s="73">
        <f t="shared" si="144"/>
        <v>0.69296987087517925</v>
      </c>
      <c r="BU216" s="73">
        <f>(Q216-P216)/P216</f>
        <v>-3.3333333333333333E-2</v>
      </c>
    </row>
    <row r="217" spans="1:73" s="14" customFormat="1" x14ac:dyDescent="0.25">
      <c r="A217" s="13"/>
      <c r="B217" s="59" t="s">
        <v>187</v>
      </c>
      <c r="C217" s="60">
        <v>4</v>
      </c>
      <c r="D217" s="61">
        <v>4</v>
      </c>
      <c r="E217" s="61">
        <v>4</v>
      </c>
      <c r="F217" s="145">
        <v>0</v>
      </c>
      <c r="G217" s="62">
        <v>0</v>
      </c>
      <c r="H217" s="60"/>
      <c r="I217" s="61"/>
      <c r="J217" s="61"/>
      <c r="K217" s="145">
        <v>31</v>
      </c>
      <c r="L217" s="62">
        <v>32</v>
      </c>
      <c r="M217" s="60">
        <v>56</v>
      </c>
      <c r="N217" s="61">
        <v>54</v>
      </c>
      <c r="O217" s="61">
        <v>56</v>
      </c>
      <c r="P217" s="145">
        <v>26</v>
      </c>
      <c r="Q217" s="62">
        <v>30</v>
      </c>
      <c r="R217" s="60">
        <v>0</v>
      </c>
      <c r="S217" s="61">
        <v>0</v>
      </c>
      <c r="T217" s="61">
        <v>0</v>
      </c>
      <c r="U217" s="61">
        <v>0</v>
      </c>
      <c r="V217" s="61">
        <v>0</v>
      </c>
      <c r="W217" s="145">
        <v>0</v>
      </c>
      <c r="X217" s="62">
        <v>0</v>
      </c>
      <c r="Y217" s="60" t="s">
        <v>128</v>
      </c>
      <c r="Z217" s="61" t="s">
        <v>136</v>
      </c>
      <c r="AA217" s="61" t="s">
        <v>179</v>
      </c>
      <c r="AB217" s="145" t="s">
        <v>180</v>
      </c>
      <c r="AC217" s="61" t="s">
        <v>180</v>
      </c>
      <c r="AD217" s="152" t="s">
        <v>342</v>
      </c>
      <c r="AE217" s="152" t="s">
        <v>342</v>
      </c>
      <c r="AF217" s="270">
        <v>9466.61</v>
      </c>
      <c r="AG217" s="65">
        <v>5881.32</v>
      </c>
      <c r="AH217" s="65">
        <v>6920.69</v>
      </c>
      <c r="AI217" s="65">
        <v>8880.18</v>
      </c>
      <c r="AJ217" s="65">
        <v>7712.28</v>
      </c>
      <c r="AK217" s="196">
        <v>6651</v>
      </c>
      <c r="AL217" s="66">
        <v>6968</v>
      </c>
      <c r="AM217" s="270">
        <v>5279.69</v>
      </c>
      <c r="AN217" s="65">
        <v>5891.98</v>
      </c>
      <c r="AO217" s="65">
        <v>5550.58</v>
      </c>
      <c r="AP217" s="65">
        <v>5792.95</v>
      </c>
      <c r="AQ217" s="65">
        <v>6383.75</v>
      </c>
      <c r="AR217" s="196">
        <v>777</v>
      </c>
      <c r="AS217" s="66">
        <v>328</v>
      </c>
      <c r="AT217" s="276">
        <f t="shared" si="102"/>
        <v>0.55771707084162114</v>
      </c>
      <c r="AU217" s="67">
        <f t="shared" si="103"/>
        <v>1.0018125182782096</v>
      </c>
      <c r="AV217" s="67">
        <f t="shared" si="104"/>
        <v>0.80202696551933406</v>
      </c>
      <c r="AW217" s="67">
        <f t="shared" si="105"/>
        <v>0.65234601100428136</v>
      </c>
      <c r="AX217" s="67">
        <f t="shared" si="106"/>
        <v>0.82773836012177981</v>
      </c>
      <c r="AY217" s="190">
        <f t="shared" si="131"/>
        <v>0.11682453766350925</v>
      </c>
      <c r="AZ217" s="68">
        <f t="shared" si="137"/>
        <v>4.7072330654420208E-2</v>
      </c>
      <c r="BA217" s="276" t="s">
        <v>226</v>
      </c>
      <c r="BB217" s="69">
        <f t="shared" si="139"/>
        <v>44.409544743658849</v>
      </c>
      <c r="BC217" s="69">
        <f t="shared" si="139"/>
        <v>24.43098946777129</v>
      </c>
      <c r="BD217" s="69">
        <f t="shared" si="99"/>
        <v>9.4628940162660218</v>
      </c>
      <c r="BE217" s="69">
        <f t="shared" si="100"/>
        <v>27.002128928015868</v>
      </c>
      <c r="BF217" s="199">
        <f t="shared" si="140"/>
        <v>-44.089253317811192</v>
      </c>
      <c r="BG217" s="70">
        <f t="shared" si="141"/>
        <v>-51.064474018720098</v>
      </c>
      <c r="BH217" s="60" t="s">
        <v>226</v>
      </c>
      <c r="BI217" s="71">
        <f t="shared" si="94"/>
        <v>44.409544743658849</v>
      </c>
      <c r="BJ217" s="71">
        <f t="shared" si="95"/>
        <v>-19.978555275887555</v>
      </c>
      <c r="BK217" s="71">
        <f t="shared" si="96"/>
        <v>-14.96809545150527</v>
      </c>
      <c r="BL217" s="71">
        <f t="shared" si="97"/>
        <v>17.539234911749844</v>
      </c>
      <c r="BM217" s="200">
        <f t="shared" si="142"/>
        <v>-71.091382245827049</v>
      </c>
      <c r="BN217" s="72">
        <f t="shared" si="143"/>
        <v>-6.9752207009089044</v>
      </c>
      <c r="BO217" s="276">
        <f t="shared" si="134"/>
        <v>0</v>
      </c>
      <c r="BP217" s="67">
        <f t="shared" si="135"/>
        <v>0</v>
      </c>
      <c r="BQ217" s="67">
        <f t="shared" si="136"/>
        <v>0</v>
      </c>
      <c r="BR217" s="190">
        <f>W217/P217</f>
        <v>0</v>
      </c>
      <c r="BS217" s="190">
        <f t="shared" si="138"/>
        <v>0</v>
      </c>
      <c r="BT217" s="73"/>
      <c r="BU217" s="73">
        <f>(Q217-P217)/P217</f>
        <v>0.15384615384615385</v>
      </c>
    </row>
    <row r="218" spans="1:73" s="14" customFormat="1" x14ac:dyDescent="0.25">
      <c r="A218" s="13"/>
      <c r="B218" s="59" t="s">
        <v>188</v>
      </c>
      <c r="C218" s="60">
        <v>14</v>
      </c>
      <c r="D218" s="61">
        <v>14</v>
      </c>
      <c r="E218" s="61">
        <v>14</v>
      </c>
      <c r="F218" s="145">
        <v>0</v>
      </c>
      <c r="G218" s="62">
        <v>0</v>
      </c>
      <c r="H218" s="60"/>
      <c r="I218" s="61"/>
      <c r="J218" s="61"/>
      <c r="K218" s="145">
        <v>210</v>
      </c>
      <c r="L218" s="62">
        <v>218</v>
      </c>
      <c r="M218" s="60">
        <v>135</v>
      </c>
      <c r="N218" s="61">
        <v>154</v>
      </c>
      <c r="O218" s="61">
        <v>160</v>
      </c>
      <c r="P218" s="145">
        <v>86</v>
      </c>
      <c r="Q218" s="62">
        <v>92</v>
      </c>
      <c r="R218" s="60">
        <v>0</v>
      </c>
      <c r="S218" s="61">
        <v>30</v>
      </c>
      <c r="T218" s="61">
        <v>0</v>
      </c>
      <c r="U218" s="61">
        <v>0</v>
      </c>
      <c r="V218" s="61">
        <v>0</v>
      </c>
      <c r="W218" s="145">
        <v>0</v>
      </c>
      <c r="X218" s="62">
        <v>0</v>
      </c>
      <c r="Y218" s="60"/>
      <c r="Z218" s="61" t="s">
        <v>95</v>
      </c>
      <c r="AA218" s="61" t="s">
        <v>181</v>
      </c>
      <c r="AB218" s="145" t="s">
        <v>132</v>
      </c>
      <c r="AC218" s="61" t="s">
        <v>182</v>
      </c>
      <c r="AD218" s="145" t="s">
        <v>343</v>
      </c>
      <c r="AE218" s="62" t="s">
        <v>404</v>
      </c>
      <c r="AF218" s="270">
        <v>27202.79</v>
      </c>
      <c r="AG218" s="65">
        <v>35392.33</v>
      </c>
      <c r="AH218" s="65">
        <v>48718</v>
      </c>
      <c r="AI218" s="65">
        <v>62237.98</v>
      </c>
      <c r="AJ218" s="65">
        <v>56276.49</v>
      </c>
      <c r="AK218" s="196">
        <v>56680</v>
      </c>
      <c r="AL218" s="66">
        <v>61393</v>
      </c>
      <c r="AM218" s="270">
        <v>18084.03</v>
      </c>
      <c r="AN218" s="65">
        <v>16443.009999999998</v>
      </c>
      <c r="AO218" s="65">
        <v>18287.060000000001</v>
      </c>
      <c r="AP218" s="65">
        <v>28539.93</v>
      </c>
      <c r="AQ218" s="65">
        <v>34141.769999999997</v>
      </c>
      <c r="AR218" s="196">
        <v>6115</v>
      </c>
      <c r="AS218" s="66">
        <v>6830</v>
      </c>
      <c r="AT218" s="276">
        <f t="shared" si="102"/>
        <v>0.66478585468622886</v>
      </c>
      <c r="AU218" s="67">
        <f t="shared" si="103"/>
        <v>0.46459246961135359</v>
      </c>
      <c r="AV218" s="67">
        <f t="shared" si="104"/>
        <v>0.37536557329939657</v>
      </c>
      <c r="AW218" s="67">
        <f t="shared" si="105"/>
        <v>0.45856131577535131</v>
      </c>
      <c r="AX218" s="67">
        <f t="shared" si="106"/>
        <v>0.6066790945917202</v>
      </c>
      <c r="AY218" s="190">
        <f t="shared" si="131"/>
        <v>0.1078863796753705</v>
      </c>
      <c r="AZ218" s="68">
        <f t="shared" si="137"/>
        <v>0.11125046829443096</v>
      </c>
      <c r="BA218" s="276" t="s">
        <v>226</v>
      </c>
      <c r="BB218" s="69">
        <f t="shared" si="139"/>
        <v>-20.019338507487529</v>
      </c>
      <c r="BC218" s="69">
        <f t="shared" si="139"/>
        <v>-28.942028138683227</v>
      </c>
      <c r="BD218" s="69">
        <f t="shared" si="99"/>
        <v>-20.622453891087755</v>
      </c>
      <c r="BE218" s="69">
        <f t="shared" si="100"/>
        <v>-5.8106760094508658</v>
      </c>
      <c r="BF218" s="199">
        <f t="shared" si="140"/>
        <v>-55.689947501085832</v>
      </c>
      <c r="BG218" s="70">
        <f t="shared" si="141"/>
        <v>-55.353538639179789</v>
      </c>
      <c r="BH218" s="60" t="s">
        <v>226</v>
      </c>
      <c r="BI218" s="71">
        <f t="shared" si="94"/>
        <v>-20.019338507487529</v>
      </c>
      <c r="BJ218" s="71">
        <f t="shared" si="95"/>
        <v>-8.922689631195702</v>
      </c>
      <c r="BK218" s="71">
        <f t="shared" si="96"/>
        <v>8.3195742475954741</v>
      </c>
      <c r="BL218" s="71">
        <f t="shared" si="97"/>
        <v>14.811777881636889</v>
      </c>
      <c r="BM218" s="200">
        <f t="shared" si="142"/>
        <v>-49.879271491634967</v>
      </c>
      <c r="BN218" s="72">
        <f t="shared" si="143"/>
        <v>0.33640886190604569</v>
      </c>
      <c r="BO218" s="276">
        <f t="shared" si="134"/>
        <v>0</v>
      </c>
      <c r="BP218" s="67">
        <f t="shared" si="135"/>
        <v>0</v>
      </c>
      <c r="BQ218" s="67">
        <f t="shared" si="136"/>
        <v>0</v>
      </c>
      <c r="BR218" s="190">
        <f>W218/P218</f>
        <v>0</v>
      </c>
      <c r="BS218" s="190">
        <f t="shared" si="138"/>
        <v>0</v>
      </c>
      <c r="BT218" s="73"/>
      <c r="BU218" s="73">
        <f>(Q218-P218)/P218</f>
        <v>6.9767441860465115E-2</v>
      </c>
    </row>
    <row r="219" spans="1:73" s="14" customFormat="1" x14ac:dyDescent="0.25">
      <c r="A219" s="13"/>
      <c r="B219" s="59" t="s">
        <v>189</v>
      </c>
      <c r="C219" s="60">
        <v>0</v>
      </c>
      <c r="D219" s="61">
        <v>0</v>
      </c>
      <c r="E219" s="61">
        <v>0</v>
      </c>
      <c r="F219" s="145">
        <v>0</v>
      </c>
      <c r="G219" s="62">
        <v>0</v>
      </c>
      <c r="H219" s="60">
        <v>188</v>
      </c>
      <c r="I219" s="61">
        <v>188</v>
      </c>
      <c r="J219" s="61">
        <v>192</v>
      </c>
      <c r="K219" s="145">
        <v>190</v>
      </c>
      <c r="L219" s="62">
        <v>190</v>
      </c>
      <c r="M219" s="60">
        <v>41</v>
      </c>
      <c r="N219" s="61">
        <v>54</v>
      </c>
      <c r="O219" s="61">
        <v>59</v>
      </c>
      <c r="P219" s="145">
        <v>53</v>
      </c>
      <c r="Q219" s="62">
        <v>38</v>
      </c>
      <c r="R219" s="60">
        <v>0</v>
      </c>
      <c r="S219" s="61">
        <v>0</v>
      </c>
      <c r="T219" s="61">
        <v>0</v>
      </c>
      <c r="U219" s="61">
        <v>0</v>
      </c>
      <c r="V219" s="61">
        <v>0</v>
      </c>
      <c r="W219" s="145">
        <v>0</v>
      </c>
      <c r="X219" s="62">
        <v>0</v>
      </c>
      <c r="Y219" s="60">
        <v>13.88</v>
      </c>
      <c r="Z219" s="61">
        <v>24.74</v>
      </c>
      <c r="AA219" s="61">
        <v>33.46</v>
      </c>
      <c r="AB219" s="145">
        <v>33.46</v>
      </c>
      <c r="AC219" s="61">
        <v>33.46</v>
      </c>
      <c r="AD219" s="152">
        <v>33.46</v>
      </c>
      <c r="AE219" s="64">
        <v>31.73</v>
      </c>
      <c r="AF219" s="270">
        <v>28849.17</v>
      </c>
      <c r="AG219" s="65">
        <v>30566.07</v>
      </c>
      <c r="AH219" s="65">
        <v>46309.05</v>
      </c>
      <c r="AI219" s="65">
        <v>58563.43</v>
      </c>
      <c r="AJ219" s="65">
        <v>50327.12</v>
      </c>
      <c r="AK219" s="196">
        <v>50635</v>
      </c>
      <c r="AL219" s="66">
        <v>54724</v>
      </c>
      <c r="AM219" s="270">
        <v>1778.25</v>
      </c>
      <c r="AN219" s="65">
        <v>1077.93</v>
      </c>
      <c r="AO219" s="65">
        <v>2630.11</v>
      </c>
      <c r="AP219" s="65">
        <v>3967.71</v>
      </c>
      <c r="AQ219" s="65">
        <v>5231.47</v>
      </c>
      <c r="AR219" s="196">
        <v>4919</v>
      </c>
      <c r="AS219" s="66">
        <v>5079</v>
      </c>
      <c r="AT219" s="276">
        <f t="shared" si="102"/>
        <v>6.1639554968132539E-2</v>
      </c>
      <c r="AU219" s="67">
        <f t="shared" si="103"/>
        <v>3.5265573886338678E-2</v>
      </c>
      <c r="AV219" s="67">
        <f t="shared" si="104"/>
        <v>5.6794730187727883E-2</v>
      </c>
      <c r="AW219" s="67">
        <f t="shared" si="105"/>
        <v>6.775064233771827E-2</v>
      </c>
      <c r="AX219" s="67">
        <f t="shared" si="106"/>
        <v>0.10394932195603483</v>
      </c>
      <c r="AY219" s="190">
        <f t="shared" si="131"/>
        <v>9.714624271748791E-2</v>
      </c>
      <c r="AZ219" s="68">
        <f t="shared" si="137"/>
        <v>9.2811198011841234E-2</v>
      </c>
      <c r="BA219" s="276" t="s">
        <v>226</v>
      </c>
      <c r="BB219" s="69">
        <f t="shared" si="139"/>
        <v>-2.637398108179386</v>
      </c>
      <c r="BC219" s="69">
        <f t="shared" si="139"/>
        <v>-0.48448247804046551</v>
      </c>
      <c r="BD219" s="69">
        <f t="shared" si="99"/>
        <v>0.61110873695857315</v>
      </c>
      <c r="BE219" s="69">
        <f t="shared" si="100"/>
        <v>4.2309766987902293</v>
      </c>
      <c r="BF219" s="199">
        <f t="shared" si="140"/>
        <v>3.550668774935537</v>
      </c>
      <c r="BG219" s="70">
        <f t="shared" si="141"/>
        <v>3.1171643043708697</v>
      </c>
      <c r="BH219" s="60" t="s">
        <v>226</v>
      </c>
      <c r="BI219" s="71">
        <f t="shared" si="94"/>
        <v>-2.637398108179386</v>
      </c>
      <c r="BJ219" s="71">
        <f t="shared" si="95"/>
        <v>2.1529156301389207</v>
      </c>
      <c r="BK219" s="71">
        <f t="shared" si="96"/>
        <v>1.0955912149990386</v>
      </c>
      <c r="BL219" s="71">
        <f t="shared" si="97"/>
        <v>3.6198679618316563</v>
      </c>
      <c r="BM219" s="200">
        <f t="shared" si="142"/>
        <v>-0.68030792385469219</v>
      </c>
      <c r="BN219" s="72">
        <f t="shared" si="143"/>
        <v>-0.43350447056466762</v>
      </c>
      <c r="BO219" s="276">
        <f t="shared" si="134"/>
        <v>0</v>
      </c>
      <c r="BP219" s="67">
        <f t="shared" si="135"/>
        <v>0</v>
      </c>
      <c r="BQ219" s="67">
        <f t="shared" si="136"/>
        <v>0</v>
      </c>
      <c r="BR219" s="190">
        <f>W219/P219</f>
        <v>0</v>
      </c>
      <c r="BS219" s="190">
        <f t="shared" si="138"/>
        <v>0</v>
      </c>
      <c r="BT219" s="73">
        <f t="shared" si="144"/>
        <v>-5.1703526598924097E-2</v>
      </c>
      <c r="BU219" s="73">
        <f>(Q219-P219)/P219</f>
        <v>-0.28301886792452829</v>
      </c>
    </row>
    <row r="220" spans="1:73" s="11" customFormat="1" x14ac:dyDescent="0.25">
      <c r="A220" s="10"/>
      <c r="B220" s="33" t="s">
        <v>190</v>
      </c>
      <c r="C220" s="34">
        <v>0</v>
      </c>
      <c r="D220" s="35">
        <v>0</v>
      </c>
      <c r="E220" s="35">
        <v>0</v>
      </c>
      <c r="F220" s="93"/>
      <c r="G220" s="36"/>
      <c r="H220" s="34">
        <v>33</v>
      </c>
      <c r="I220" s="35">
        <v>32</v>
      </c>
      <c r="J220" s="35">
        <v>32</v>
      </c>
      <c r="K220" s="93"/>
      <c r="L220" s="36"/>
      <c r="M220" s="34">
        <v>9</v>
      </c>
      <c r="N220" s="35">
        <v>5</v>
      </c>
      <c r="O220" s="35">
        <v>6</v>
      </c>
      <c r="P220" s="93"/>
      <c r="Q220" s="36"/>
      <c r="R220" s="34"/>
      <c r="S220" s="35"/>
      <c r="T220" s="35"/>
      <c r="U220" s="35"/>
      <c r="V220" s="35"/>
      <c r="W220" s="93"/>
      <c r="X220" s="36"/>
      <c r="Y220" s="34" t="s">
        <v>183</v>
      </c>
      <c r="Z220" s="35" t="s">
        <v>183</v>
      </c>
      <c r="AA220" s="35" t="s">
        <v>136</v>
      </c>
      <c r="AB220" s="93" t="s">
        <v>184</v>
      </c>
      <c r="AC220" s="35" t="s">
        <v>184</v>
      </c>
      <c r="AD220" s="154"/>
      <c r="AE220" s="90"/>
      <c r="AF220" s="38">
        <v>6114.99</v>
      </c>
      <c r="AG220" s="39">
        <v>6114.99</v>
      </c>
      <c r="AH220" s="39">
        <v>6114.99</v>
      </c>
      <c r="AI220" s="39">
        <v>8580.0499999999993</v>
      </c>
      <c r="AJ220" s="39">
        <v>9378.19</v>
      </c>
      <c r="AK220" s="182"/>
      <c r="AL220" s="40"/>
      <c r="AM220" s="38">
        <v>2176.9499999999998</v>
      </c>
      <c r="AN220" s="39">
        <v>2579.19</v>
      </c>
      <c r="AO220" s="39">
        <v>2934.15</v>
      </c>
      <c r="AP220" s="39">
        <v>1340.26</v>
      </c>
      <c r="AQ220" s="39">
        <v>3512.91</v>
      </c>
      <c r="AR220" s="182"/>
      <c r="AS220" s="40"/>
      <c r="AT220" s="41">
        <f t="shared" si="102"/>
        <v>0.35600221750158217</v>
      </c>
      <c r="AU220" s="42">
        <f t="shared" si="103"/>
        <v>0.42178155647024773</v>
      </c>
      <c r="AV220" s="42">
        <f t="shared" si="104"/>
        <v>0.4798290757630021</v>
      </c>
      <c r="AW220" s="42">
        <f t="shared" si="105"/>
        <v>0.15620654891288513</v>
      </c>
      <c r="AX220" s="42">
        <f t="shared" si="106"/>
        <v>0.37458294191096575</v>
      </c>
      <c r="AY220" s="183"/>
      <c r="AZ220" s="43"/>
      <c r="BA220" s="41" t="s">
        <v>226</v>
      </c>
      <c r="BB220" s="44">
        <f t="shared" si="139"/>
        <v>6.5779338968665559</v>
      </c>
      <c r="BC220" s="44">
        <f t="shared" si="139"/>
        <v>12.382685826141993</v>
      </c>
      <c r="BD220" s="44">
        <f t="shared" si="99"/>
        <v>-19.979566858869706</v>
      </c>
      <c r="BE220" s="44">
        <f t="shared" si="100"/>
        <v>1.8580724409383576</v>
      </c>
      <c r="BF220" s="184"/>
      <c r="BG220" s="45"/>
      <c r="BH220" s="34" t="s">
        <v>226</v>
      </c>
      <c r="BI220" s="46">
        <f t="shared" si="94"/>
        <v>6.5779338968665559</v>
      </c>
      <c r="BJ220" s="46">
        <f t="shared" si="95"/>
        <v>5.8047519292754366</v>
      </c>
      <c r="BK220" s="46">
        <f t="shared" si="96"/>
        <v>-32.362252685011697</v>
      </c>
      <c r="BL220" s="46">
        <f t="shared" si="97"/>
        <v>21.83763929980806</v>
      </c>
      <c r="BM220" s="185"/>
      <c r="BN220" s="47"/>
      <c r="BO220" s="41">
        <f t="shared" si="134"/>
        <v>0</v>
      </c>
      <c r="BP220" s="42">
        <f t="shared" si="135"/>
        <v>0</v>
      </c>
      <c r="BQ220" s="42">
        <f t="shared" si="136"/>
        <v>0</v>
      </c>
      <c r="BR220" s="183"/>
      <c r="BS220" s="183"/>
      <c r="BT220" s="48"/>
      <c r="BU220" s="48"/>
    </row>
    <row r="221" spans="1:73" s="9" customFormat="1" x14ac:dyDescent="0.25">
      <c r="A221" s="12"/>
      <c r="B221" s="17" t="s">
        <v>191</v>
      </c>
      <c r="C221" s="2">
        <v>13</v>
      </c>
      <c r="D221" s="3">
        <v>13</v>
      </c>
      <c r="E221" s="3">
        <v>13</v>
      </c>
      <c r="F221" s="144"/>
      <c r="G221" s="4">
        <v>13</v>
      </c>
      <c r="H221" s="2">
        <v>3</v>
      </c>
      <c r="I221" s="3">
        <v>3</v>
      </c>
      <c r="J221" s="3">
        <v>3</v>
      </c>
      <c r="K221" s="144"/>
      <c r="L221" s="4">
        <v>890</v>
      </c>
      <c r="M221" s="2">
        <v>275</v>
      </c>
      <c r="N221" s="3">
        <v>355</v>
      </c>
      <c r="O221" s="3">
        <v>360</v>
      </c>
      <c r="P221" s="144"/>
      <c r="Q221" s="4">
        <v>317</v>
      </c>
      <c r="R221" s="2">
        <v>0</v>
      </c>
      <c r="S221" s="3">
        <v>2</v>
      </c>
      <c r="T221" s="3">
        <v>5</v>
      </c>
      <c r="U221" s="3">
        <v>24</v>
      </c>
      <c r="V221" s="3">
        <v>12</v>
      </c>
      <c r="W221" s="144"/>
      <c r="X221" s="4">
        <v>19</v>
      </c>
      <c r="Y221" s="2">
        <v>24.82</v>
      </c>
      <c r="Z221" s="3">
        <v>29.31</v>
      </c>
      <c r="AA221" s="3">
        <v>38.92</v>
      </c>
      <c r="AB221" s="144">
        <v>46.32</v>
      </c>
      <c r="AC221" s="3">
        <v>46</v>
      </c>
      <c r="AD221" s="153"/>
      <c r="AE221" s="86" t="s">
        <v>392</v>
      </c>
      <c r="AF221" s="19">
        <v>138789</v>
      </c>
      <c r="AG221" s="20">
        <v>134204</v>
      </c>
      <c r="AH221" s="20">
        <v>180032</v>
      </c>
      <c r="AI221" s="20">
        <v>246178</v>
      </c>
      <c r="AJ221" s="20">
        <v>286592</v>
      </c>
      <c r="AK221" s="210"/>
      <c r="AL221" s="21">
        <v>212028.73</v>
      </c>
      <c r="AM221" s="19">
        <v>12362</v>
      </c>
      <c r="AN221" s="20">
        <v>9504</v>
      </c>
      <c r="AO221" s="20">
        <v>14049</v>
      </c>
      <c r="AP221" s="20">
        <v>30870</v>
      </c>
      <c r="AQ221" s="20">
        <v>60490</v>
      </c>
      <c r="AR221" s="210"/>
      <c r="AS221" s="21">
        <v>17113.43</v>
      </c>
      <c r="AT221" s="50">
        <f t="shared" si="102"/>
        <v>8.9070459474454022E-2</v>
      </c>
      <c r="AU221" s="51">
        <f t="shared" si="103"/>
        <v>7.0817561324550679E-2</v>
      </c>
      <c r="AV221" s="51">
        <f t="shared" si="104"/>
        <v>7.8036126910771414E-2</v>
      </c>
      <c r="AW221" s="51">
        <f t="shared" si="105"/>
        <v>0.12539707041246578</v>
      </c>
      <c r="AX221" s="51">
        <f t="shared" si="106"/>
        <v>0.2110666033943725</v>
      </c>
      <c r="AY221" s="211"/>
      <c r="AZ221" s="52">
        <f t="shared" si="137"/>
        <v>8.0712788309395614E-2</v>
      </c>
      <c r="BA221" s="50" t="s">
        <v>226</v>
      </c>
      <c r="BB221" s="53">
        <f t="shared" si="139"/>
        <v>-1.8252898149903343</v>
      </c>
      <c r="BC221" s="53">
        <f t="shared" si="139"/>
        <v>-1.1034332563682607</v>
      </c>
      <c r="BD221" s="53">
        <f t="shared" si="99"/>
        <v>3.6326610938011763</v>
      </c>
      <c r="BE221" s="53">
        <f t="shared" si="100"/>
        <v>12.199614391991847</v>
      </c>
      <c r="BF221" s="212"/>
      <c r="BG221" s="54">
        <f t="shared" si="141"/>
        <v>-0.8357671165058409</v>
      </c>
      <c r="BH221" s="2" t="s">
        <v>226</v>
      </c>
      <c r="BI221" s="55">
        <f t="shared" si="94"/>
        <v>-1.8252898149903343</v>
      </c>
      <c r="BJ221" s="55">
        <f t="shared" si="95"/>
        <v>0.72185655862207354</v>
      </c>
      <c r="BK221" s="55">
        <f t="shared" si="96"/>
        <v>4.736094350169437</v>
      </c>
      <c r="BL221" s="55">
        <f t="shared" si="97"/>
        <v>8.566953298190672</v>
      </c>
      <c r="BM221" s="213"/>
      <c r="BN221" s="56"/>
      <c r="BO221" s="50">
        <f t="shared" si="134"/>
        <v>1.8181818181818181E-2</v>
      </c>
      <c r="BP221" s="51">
        <f t="shared" si="135"/>
        <v>6.7605633802816895E-2</v>
      </c>
      <c r="BQ221" s="51">
        <f t="shared" si="136"/>
        <v>3.3333333333333333E-2</v>
      </c>
      <c r="BR221" s="211"/>
      <c r="BS221" s="211">
        <f>X221/Q221</f>
        <v>5.993690851735016E-2</v>
      </c>
      <c r="BT221" s="57"/>
      <c r="BU221" s="57"/>
    </row>
    <row r="222" spans="1:73" s="14" customFormat="1" x14ac:dyDescent="0.25">
      <c r="A222" s="13"/>
      <c r="B222" s="59" t="s">
        <v>192</v>
      </c>
      <c r="C222" s="60">
        <v>5</v>
      </c>
      <c r="D222" s="61">
        <v>5</v>
      </c>
      <c r="E222" s="61">
        <v>5</v>
      </c>
      <c r="F222" s="145">
        <v>0</v>
      </c>
      <c r="G222" s="62">
        <v>6</v>
      </c>
      <c r="H222" s="60">
        <v>77</v>
      </c>
      <c r="I222" s="61">
        <v>77</v>
      </c>
      <c r="J222" s="61">
        <v>79</v>
      </c>
      <c r="K222" s="145">
        <v>80</v>
      </c>
      <c r="L222" s="62">
        <v>85</v>
      </c>
      <c r="M222" s="60">
        <v>24</v>
      </c>
      <c r="N222" s="61">
        <v>30</v>
      </c>
      <c r="O222" s="61">
        <v>30</v>
      </c>
      <c r="P222" s="145">
        <v>35</v>
      </c>
      <c r="Q222" s="62">
        <v>40</v>
      </c>
      <c r="R222" s="60">
        <v>0</v>
      </c>
      <c r="S222" s="61">
        <v>0</v>
      </c>
      <c r="T222" s="61">
        <v>0</v>
      </c>
      <c r="U222" s="61">
        <v>0</v>
      </c>
      <c r="V222" s="61">
        <v>0</v>
      </c>
      <c r="W222" s="145">
        <v>1</v>
      </c>
      <c r="X222" s="62">
        <v>1</v>
      </c>
      <c r="Y222" s="60" t="s">
        <v>185</v>
      </c>
      <c r="Z222" s="61" t="s">
        <v>185</v>
      </c>
      <c r="AA222" s="61" t="s">
        <v>160</v>
      </c>
      <c r="AB222" s="145" t="s">
        <v>182</v>
      </c>
      <c r="AC222" s="61" t="s">
        <v>182</v>
      </c>
      <c r="AD222" s="145" t="s">
        <v>182</v>
      </c>
      <c r="AE222" s="145" t="s">
        <v>182</v>
      </c>
      <c r="AF222" s="270"/>
      <c r="AG222" s="65"/>
      <c r="AH222" s="65"/>
      <c r="AI222" s="65"/>
      <c r="AJ222" s="65">
        <v>24500</v>
      </c>
      <c r="AK222" s="196">
        <v>263064</v>
      </c>
      <c r="AL222" s="66">
        <v>27717</v>
      </c>
      <c r="AM222" s="270"/>
      <c r="AN222" s="65"/>
      <c r="AO222" s="65"/>
      <c r="AP222" s="65"/>
      <c r="AQ222" s="65">
        <v>20780</v>
      </c>
      <c r="AR222" s="196">
        <v>11371.21</v>
      </c>
      <c r="AS222" s="66">
        <v>12320</v>
      </c>
      <c r="AT222" s="276"/>
      <c r="AU222" s="67"/>
      <c r="AV222" s="67"/>
      <c r="AW222" s="67"/>
      <c r="AX222" s="67">
        <f>AQ222/AJ222</f>
        <v>0.8481632653061224</v>
      </c>
      <c r="AY222" s="190">
        <f t="shared" si="131"/>
        <v>4.3226021044308609E-2</v>
      </c>
      <c r="AZ222" s="68">
        <f t="shared" si="137"/>
        <v>0.44449254969874086</v>
      </c>
      <c r="BA222" s="276" t="s">
        <v>226</v>
      </c>
      <c r="BB222" s="69"/>
      <c r="BC222" s="69"/>
      <c r="BD222" s="69"/>
      <c r="BE222" s="69"/>
      <c r="BF222" s="199"/>
      <c r="BG222" s="70"/>
      <c r="BH222" s="60" t="s">
        <v>226</v>
      </c>
      <c r="BI222" s="71"/>
      <c r="BJ222" s="71"/>
      <c r="BK222" s="71"/>
      <c r="BL222" s="71"/>
      <c r="BM222" s="200"/>
      <c r="BN222" s="72">
        <f t="shared" si="143"/>
        <v>40.126652865443226</v>
      </c>
      <c r="BO222" s="276">
        <f t="shared" si="134"/>
        <v>0</v>
      </c>
      <c r="BP222" s="67">
        <f t="shared" si="135"/>
        <v>0</v>
      </c>
      <c r="BQ222" s="67">
        <f t="shared" si="136"/>
        <v>0</v>
      </c>
      <c r="BR222" s="190">
        <f>W222/P222</f>
        <v>2.8571428571428571E-2</v>
      </c>
      <c r="BS222" s="190">
        <f>X222/Q222</f>
        <v>2.5000000000000001E-2</v>
      </c>
      <c r="BT222" s="73"/>
      <c r="BU222" s="73">
        <f>(Q222-P222)/P222</f>
        <v>0.14285714285714285</v>
      </c>
    </row>
    <row r="223" spans="1:73" s="14" customFormat="1" x14ac:dyDescent="0.25">
      <c r="A223" s="13"/>
      <c r="B223" s="59" t="s">
        <v>193</v>
      </c>
      <c r="C223" s="60">
        <v>0</v>
      </c>
      <c r="D223" s="61">
        <v>0</v>
      </c>
      <c r="E223" s="61">
        <v>0</v>
      </c>
      <c r="F223" s="145">
        <v>0</v>
      </c>
      <c r="G223" s="62">
        <v>10</v>
      </c>
      <c r="H223" s="60">
        <v>85</v>
      </c>
      <c r="I223" s="61">
        <v>88</v>
      </c>
      <c r="J223" s="61">
        <v>88</v>
      </c>
      <c r="K223" s="145">
        <v>88</v>
      </c>
      <c r="L223" s="62">
        <v>114</v>
      </c>
      <c r="M223" s="60">
        <v>72</v>
      </c>
      <c r="N223" s="61">
        <v>86</v>
      </c>
      <c r="O223" s="61">
        <v>36</v>
      </c>
      <c r="P223" s="145">
        <v>34</v>
      </c>
      <c r="Q223" s="62">
        <v>50</v>
      </c>
      <c r="R223" s="60">
        <v>0</v>
      </c>
      <c r="S223" s="61">
        <v>0</v>
      </c>
      <c r="T223" s="61">
        <v>0</v>
      </c>
      <c r="U223" s="61">
        <v>0</v>
      </c>
      <c r="V223" s="61">
        <v>0</v>
      </c>
      <c r="W223" s="145">
        <v>5</v>
      </c>
      <c r="X223" s="62">
        <v>1</v>
      </c>
      <c r="Y223" s="60" t="s">
        <v>136</v>
      </c>
      <c r="Z223" s="61" t="s">
        <v>136</v>
      </c>
      <c r="AA223" s="61" t="s">
        <v>136</v>
      </c>
      <c r="AB223" s="145" t="s">
        <v>136</v>
      </c>
      <c r="AC223" s="61" t="s">
        <v>136</v>
      </c>
      <c r="AD223" s="145" t="s">
        <v>136</v>
      </c>
      <c r="AE223" s="145" t="s">
        <v>136</v>
      </c>
      <c r="AF223" s="270">
        <v>21889.759999999998</v>
      </c>
      <c r="AG223" s="65">
        <v>25888.799999999999</v>
      </c>
      <c r="AH223" s="65">
        <v>28319.67</v>
      </c>
      <c r="AI223" s="65">
        <v>30608.240000000002</v>
      </c>
      <c r="AJ223" s="65">
        <v>28971.05</v>
      </c>
      <c r="AK223" s="196">
        <v>28023</v>
      </c>
      <c r="AL223" s="66">
        <v>31907</v>
      </c>
      <c r="AM223" s="270">
        <v>3644.3</v>
      </c>
      <c r="AN223" s="65">
        <v>3662.96</v>
      </c>
      <c r="AO223" s="65">
        <v>5205.1000000000004</v>
      </c>
      <c r="AP223" s="65">
        <v>8521.69</v>
      </c>
      <c r="AQ223" s="65">
        <v>10010.290000000001</v>
      </c>
      <c r="AR223" s="196">
        <v>8802</v>
      </c>
      <c r="AS223" s="66">
        <v>7804</v>
      </c>
      <c r="AT223" s="276">
        <f t="shared" si="102"/>
        <v>0.16648423737857337</v>
      </c>
      <c r="AU223" s="67">
        <f t="shared" si="103"/>
        <v>0.14148821111832144</v>
      </c>
      <c r="AV223" s="67">
        <f t="shared" si="104"/>
        <v>0.18379804566931751</v>
      </c>
      <c r="AW223" s="67">
        <f t="shared" si="105"/>
        <v>0.27841163033222427</v>
      </c>
      <c r="AX223" s="67">
        <f t="shared" si="106"/>
        <v>0.34552734540170277</v>
      </c>
      <c r="AY223" s="190">
        <f t="shared" si="131"/>
        <v>0.31409913285515467</v>
      </c>
      <c r="AZ223" s="68">
        <f t="shared" si="137"/>
        <v>0.24458582756135017</v>
      </c>
      <c r="BA223" s="276" t="s">
        <v>226</v>
      </c>
      <c r="BB223" s="69"/>
      <c r="BC223" s="69"/>
      <c r="BD223" s="69"/>
      <c r="BE223" s="69"/>
      <c r="BF223" s="199"/>
      <c r="BG223" s="70"/>
      <c r="BH223" s="60" t="s">
        <v>226</v>
      </c>
      <c r="BI223" s="71"/>
      <c r="BJ223" s="71">
        <f t="shared" si="95"/>
        <v>4.230983455099607</v>
      </c>
      <c r="BK223" s="71">
        <f t="shared" si="96"/>
        <v>9.461358466290676</v>
      </c>
      <c r="BL223" s="71">
        <f t="shared" si="97"/>
        <v>6.7115715069478501</v>
      </c>
      <c r="BM223" s="200">
        <f t="shared" si="142"/>
        <v>-3.1428212546548098</v>
      </c>
      <c r="BN223" s="72">
        <f t="shared" si="143"/>
        <v>-6.951330529380451</v>
      </c>
      <c r="BO223" s="276">
        <f t="shared" si="134"/>
        <v>0</v>
      </c>
      <c r="BP223" s="67">
        <f t="shared" si="135"/>
        <v>0</v>
      </c>
      <c r="BQ223" s="67">
        <f t="shared" si="136"/>
        <v>0</v>
      </c>
      <c r="BR223" s="190">
        <f>W223/P223</f>
        <v>0.14705882352941177</v>
      </c>
      <c r="BS223" s="190">
        <f>X223/Q223</f>
        <v>0.02</v>
      </c>
      <c r="BT223" s="73"/>
      <c r="BU223" s="73">
        <f>(Q223-P223)/P223</f>
        <v>0.47058823529411764</v>
      </c>
    </row>
    <row r="224" spans="1:73" s="9" customFormat="1" x14ac:dyDescent="0.25">
      <c r="A224" s="12"/>
      <c r="B224" s="17" t="s">
        <v>341</v>
      </c>
      <c r="C224" s="2"/>
      <c r="D224" s="3"/>
      <c r="E224" s="3"/>
      <c r="F224" s="144">
        <v>13</v>
      </c>
      <c r="G224" s="4"/>
      <c r="H224" s="2"/>
      <c r="I224" s="3"/>
      <c r="J224" s="3"/>
      <c r="K224" s="144">
        <v>890</v>
      </c>
      <c r="L224" s="4"/>
      <c r="M224" s="2"/>
      <c r="N224" s="3"/>
      <c r="O224" s="3"/>
      <c r="P224" s="144">
        <v>410</v>
      </c>
      <c r="Q224" s="4"/>
      <c r="R224" s="2"/>
      <c r="S224" s="3"/>
      <c r="T224" s="3"/>
      <c r="U224" s="3"/>
      <c r="V224" s="3"/>
      <c r="W224" s="144">
        <v>16</v>
      </c>
      <c r="X224" s="4"/>
      <c r="Y224" s="2"/>
      <c r="Z224" s="3"/>
      <c r="AA224" s="3"/>
      <c r="AB224" s="144"/>
      <c r="AC224" s="3"/>
      <c r="AD224" s="153">
        <v>45.39</v>
      </c>
      <c r="AE224" s="86"/>
      <c r="AF224" s="19"/>
      <c r="AG224" s="20"/>
      <c r="AH224" s="20"/>
      <c r="AI224" s="20"/>
      <c r="AJ224" s="20"/>
      <c r="AK224" s="210">
        <v>228630.51</v>
      </c>
      <c r="AL224" s="21"/>
      <c r="AM224" s="19"/>
      <c r="AN224" s="20"/>
      <c r="AO224" s="20"/>
      <c r="AP224" s="20"/>
      <c r="AQ224" s="20"/>
      <c r="AR224" s="210">
        <v>27903.24</v>
      </c>
      <c r="AS224" s="21"/>
      <c r="AT224" s="50"/>
      <c r="AU224" s="51"/>
      <c r="AV224" s="51"/>
      <c r="AW224" s="51"/>
      <c r="AX224" s="51"/>
      <c r="AY224" s="211">
        <f t="shared" si="131"/>
        <v>0.12204512862259723</v>
      </c>
      <c r="AZ224" s="52"/>
      <c r="BA224" s="50"/>
      <c r="BB224" s="53"/>
      <c r="BC224" s="53"/>
      <c r="BD224" s="53"/>
      <c r="BE224" s="53"/>
      <c r="BF224" s="212"/>
      <c r="BG224" s="54"/>
      <c r="BH224" s="2"/>
      <c r="BI224" s="55"/>
      <c r="BJ224" s="55"/>
      <c r="BK224" s="55"/>
      <c r="BL224" s="55"/>
      <c r="BM224" s="213"/>
      <c r="BN224" s="56"/>
      <c r="BO224" s="50"/>
      <c r="BP224" s="51"/>
      <c r="BQ224" s="51"/>
      <c r="BR224" s="211">
        <f>W224/P224</f>
        <v>3.9024390243902439E-2</v>
      </c>
      <c r="BS224" s="211"/>
      <c r="BT224" s="57"/>
      <c r="BU224" s="57"/>
    </row>
    <row r="225" spans="1:73" x14ac:dyDescent="0.25">
      <c r="A225" s="15">
        <v>99</v>
      </c>
      <c r="B225" s="74" t="s">
        <v>58</v>
      </c>
      <c r="C225" s="246"/>
      <c r="D225" s="75"/>
      <c r="E225" s="75"/>
      <c r="F225" s="146"/>
      <c r="G225" s="76"/>
      <c r="H225" s="246"/>
      <c r="I225" s="75"/>
      <c r="J225" s="75"/>
      <c r="K225" s="146"/>
      <c r="L225" s="76"/>
      <c r="M225" s="246"/>
      <c r="N225" s="75"/>
      <c r="O225" s="75"/>
      <c r="P225" s="146"/>
      <c r="Q225" s="76"/>
      <c r="R225" s="246"/>
      <c r="S225" s="75"/>
      <c r="T225" s="75"/>
      <c r="U225" s="75"/>
      <c r="V225" s="75"/>
      <c r="W225" s="146"/>
      <c r="X225" s="76"/>
      <c r="Y225" s="246"/>
      <c r="Z225" s="75"/>
      <c r="AA225" s="75"/>
      <c r="AB225" s="146"/>
      <c r="AC225" s="75"/>
      <c r="AD225" s="258"/>
      <c r="AE225" s="160"/>
      <c r="AF225" s="271"/>
      <c r="AG225" s="77"/>
      <c r="AH225" s="77"/>
      <c r="AI225" s="77"/>
      <c r="AJ225" s="77"/>
      <c r="AK225" s="265"/>
      <c r="AL225" s="78"/>
      <c r="AM225" s="271"/>
      <c r="AN225" s="77"/>
      <c r="AO225" s="77"/>
      <c r="AP225" s="77"/>
      <c r="AQ225" s="77"/>
      <c r="AR225" s="265"/>
      <c r="AS225" s="78"/>
      <c r="AT225" s="277"/>
      <c r="AU225" s="79"/>
      <c r="AV225" s="79"/>
      <c r="AW225" s="79"/>
      <c r="AX225" s="79"/>
      <c r="AY225" s="274"/>
      <c r="AZ225" s="80"/>
      <c r="BA225" s="277" t="s">
        <v>226</v>
      </c>
      <c r="BB225" s="81"/>
      <c r="BC225" s="81"/>
      <c r="BD225" s="81"/>
      <c r="BE225" s="81"/>
      <c r="BF225" s="282"/>
      <c r="BG225" s="82"/>
      <c r="BH225" s="246" t="s">
        <v>226</v>
      </c>
      <c r="BI225" s="83"/>
      <c r="BJ225" s="83"/>
      <c r="BK225" s="83"/>
      <c r="BL225" s="83"/>
      <c r="BM225" s="286"/>
      <c r="BN225" s="84"/>
      <c r="BO225" s="277"/>
      <c r="BP225" s="79"/>
      <c r="BQ225" s="79"/>
      <c r="BR225" s="274"/>
      <c r="BS225" s="274"/>
      <c r="BT225" s="419"/>
      <c r="BU225" s="419"/>
    </row>
    <row r="226" spans="1:73" s="9" customFormat="1" x14ac:dyDescent="0.25">
      <c r="A226" s="12">
        <v>100</v>
      </c>
      <c r="B226" s="17" t="s">
        <v>231</v>
      </c>
      <c r="C226" s="2">
        <v>53</v>
      </c>
      <c r="D226" s="3">
        <v>53</v>
      </c>
      <c r="E226" s="3">
        <v>53</v>
      </c>
      <c r="F226" s="144">
        <v>48</v>
      </c>
      <c r="G226" s="4">
        <v>53</v>
      </c>
      <c r="H226" s="2">
        <v>0</v>
      </c>
      <c r="I226" s="3">
        <v>0</v>
      </c>
      <c r="J226" s="3">
        <v>0</v>
      </c>
      <c r="K226" s="144">
        <v>1</v>
      </c>
      <c r="L226" s="4">
        <v>0</v>
      </c>
      <c r="M226" s="2">
        <v>478</v>
      </c>
      <c r="N226" s="3">
        <v>453</v>
      </c>
      <c r="O226" s="3">
        <v>308</v>
      </c>
      <c r="P226" s="144">
        <v>702</v>
      </c>
      <c r="Q226" s="4">
        <v>408</v>
      </c>
      <c r="R226" s="2">
        <v>31</v>
      </c>
      <c r="S226" s="3">
        <v>25</v>
      </c>
      <c r="T226" s="3">
        <v>32</v>
      </c>
      <c r="U226" s="3">
        <v>36</v>
      </c>
      <c r="V226" s="3">
        <v>40</v>
      </c>
      <c r="W226" s="144">
        <v>102</v>
      </c>
      <c r="X226" s="4">
        <v>89</v>
      </c>
      <c r="Y226" s="2">
        <v>24.68</v>
      </c>
      <c r="Z226" s="3">
        <v>26.79</v>
      </c>
      <c r="AA226" s="3">
        <v>32.21</v>
      </c>
      <c r="AB226" s="144">
        <v>33.479999999999997</v>
      </c>
      <c r="AC226" s="3">
        <v>31.45</v>
      </c>
      <c r="AD226" s="153">
        <v>39.67</v>
      </c>
      <c r="AE226" s="86">
        <v>35.42</v>
      </c>
      <c r="AF226" s="19">
        <v>370600.93</v>
      </c>
      <c r="AG226" s="20">
        <v>370707.85</v>
      </c>
      <c r="AH226" s="20">
        <v>460787.94</v>
      </c>
      <c r="AI226" s="20">
        <v>578041.53</v>
      </c>
      <c r="AJ226" s="20">
        <v>540965.88</v>
      </c>
      <c r="AK226" s="210">
        <v>587479</v>
      </c>
      <c r="AL226" s="21">
        <v>521172</v>
      </c>
      <c r="AM226" s="19"/>
      <c r="AN226" s="20"/>
      <c r="AO226" s="20">
        <v>66169</v>
      </c>
      <c r="AP226" s="20">
        <v>178960</v>
      </c>
      <c r="AQ226" s="20">
        <v>96896</v>
      </c>
      <c r="AR226" s="210">
        <v>98915</v>
      </c>
      <c r="AS226" s="21">
        <v>39005</v>
      </c>
      <c r="AT226" s="278"/>
      <c r="AU226" s="123"/>
      <c r="AV226" s="51">
        <f t="shared" si="104"/>
        <v>0.14359967841172233</v>
      </c>
      <c r="AW226" s="51">
        <f t="shared" si="105"/>
        <v>0.30959713223373414</v>
      </c>
      <c r="AX226" s="51">
        <f t="shared" si="106"/>
        <v>0.1791166570431392</v>
      </c>
      <c r="AY226" s="211">
        <f t="shared" si="131"/>
        <v>0.16837197584934951</v>
      </c>
      <c r="AZ226" s="52">
        <f t="shared" si="137"/>
        <v>7.4840935430145902E-2</v>
      </c>
      <c r="BA226" s="50" t="s">
        <v>226</v>
      </c>
      <c r="BB226" s="53"/>
      <c r="BC226" s="53"/>
      <c r="BD226" s="53"/>
      <c r="BE226" s="53"/>
      <c r="BF226" s="212"/>
      <c r="BG226" s="54"/>
      <c r="BH226" s="2" t="s">
        <v>226</v>
      </c>
      <c r="BI226" s="55">
        <f t="shared" si="94"/>
        <v>0</v>
      </c>
      <c r="BJ226" s="55">
        <f t="shared" si="95"/>
        <v>14.359967841172233</v>
      </c>
      <c r="BK226" s="55">
        <f t="shared" si="96"/>
        <v>16.599745382201181</v>
      </c>
      <c r="BL226" s="55">
        <f t="shared" si="97"/>
        <v>-13.048047519059494</v>
      </c>
      <c r="BM226" s="213">
        <f t="shared" si="142"/>
        <v>-1.0744681193789685</v>
      </c>
      <c r="BN226" s="56">
        <f t="shared" si="143"/>
        <v>-9.3531040419203606</v>
      </c>
      <c r="BO226" s="50">
        <f>T226/M226</f>
        <v>6.6945606694560664E-2</v>
      </c>
      <c r="BP226" s="51">
        <f>U226/N226</f>
        <v>7.9470198675496692E-2</v>
      </c>
      <c r="BQ226" s="51">
        <f>V226/O226</f>
        <v>0.12987012987012986</v>
      </c>
      <c r="BR226" s="211">
        <f>W226/P226</f>
        <v>0.14529914529914531</v>
      </c>
      <c r="BS226" s="211">
        <f>X226/Q226</f>
        <v>0.21813725490196079</v>
      </c>
      <c r="BT226" s="57">
        <f t="shared" si="144"/>
        <v>-0.10713385429795814</v>
      </c>
      <c r="BU226" s="57">
        <f>(Q226-P226)/P226</f>
        <v>-0.41880341880341881</v>
      </c>
    </row>
    <row r="227" spans="1:73" s="11" customFormat="1" x14ac:dyDescent="0.25">
      <c r="A227" s="10"/>
      <c r="B227" s="33" t="s">
        <v>338</v>
      </c>
      <c r="C227" s="34"/>
      <c r="D227" s="35"/>
      <c r="E227" s="35"/>
      <c r="F227" s="93">
        <v>0</v>
      </c>
      <c r="G227" s="36"/>
      <c r="H227" s="34"/>
      <c r="I227" s="35"/>
      <c r="J227" s="35"/>
      <c r="K227" s="93">
        <v>2</v>
      </c>
      <c r="L227" s="36"/>
      <c r="M227" s="34"/>
      <c r="N227" s="35"/>
      <c r="O227" s="35"/>
      <c r="P227" s="93">
        <v>5</v>
      </c>
      <c r="Q227" s="36"/>
      <c r="R227" s="34"/>
      <c r="S227" s="35"/>
      <c r="T227" s="35"/>
      <c r="U227" s="35"/>
      <c r="V227" s="35"/>
      <c r="W227" s="93">
        <v>0</v>
      </c>
      <c r="X227" s="36"/>
      <c r="Y227" s="34"/>
      <c r="Z227" s="35"/>
      <c r="AA227" s="35"/>
      <c r="AB227" s="93"/>
      <c r="AC227" s="35"/>
      <c r="AD227" s="154" t="s">
        <v>339</v>
      </c>
      <c r="AE227" s="90"/>
      <c r="AF227" s="38"/>
      <c r="AG227" s="39"/>
      <c r="AH227" s="39"/>
      <c r="AI227" s="39"/>
      <c r="AJ227" s="39"/>
      <c r="AK227" s="182">
        <v>5918</v>
      </c>
      <c r="AL227" s="40"/>
      <c r="AM227" s="38"/>
      <c r="AN227" s="39"/>
      <c r="AO227" s="39"/>
      <c r="AP227" s="39"/>
      <c r="AQ227" s="39"/>
      <c r="AR227" s="182">
        <v>581</v>
      </c>
      <c r="AS227" s="40"/>
      <c r="AT227" s="279"/>
      <c r="AU227" s="170"/>
      <c r="AV227" s="42"/>
      <c r="AW227" s="42"/>
      <c r="AX227" s="42"/>
      <c r="AY227" s="183">
        <f t="shared" si="131"/>
        <v>9.8175059141601892E-2</v>
      </c>
      <c r="AZ227" s="43"/>
      <c r="BA227" s="41"/>
      <c r="BB227" s="44"/>
      <c r="BC227" s="44"/>
      <c r="BD227" s="44"/>
      <c r="BE227" s="44"/>
      <c r="BF227" s="184"/>
      <c r="BG227" s="45"/>
      <c r="BH227" s="34"/>
      <c r="BI227" s="46"/>
      <c r="BJ227" s="46"/>
      <c r="BK227" s="46"/>
      <c r="BL227" s="46"/>
      <c r="BM227" s="185"/>
      <c r="BN227" s="47"/>
      <c r="BO227" s="41"/>
      <c r="BP227" s="42"/>
      <c r="BQ227" s="42"/>
      <c r="BR227" s="183">
        <f>W227/P227</f>
        <v>0</v>
      </c>
      <c r="BS227" s="183"/>
      <c r="BT227" s="48"/>
      <c r="BU227" s="48"/>
    </row>
    <row r="228" spans="1:73" s="14" customFormat="1" x14ac:dyDescent="0.25">
      <c r="A228" s="13">
        <v>101</v>
      </c>
      <c r="B228" s="59" t="s">
        <v>364</v>
      </c>
      <c r="C228" s="60"/>
      <c r="D228" s="61"/>
      <c r="E228" s="61"/>
      <c r="F228" s="145">
        <v>14</v>
      </c>
      <c r="G228" s="62"/>
      <c r="H228" s="60"/>
      <c r="I228" s="61"/>
      <c r="J228" s="61"/>
      <c r="K228" s="145">
        <v>1</v>
      </c>
      <c r="L228" s="62"/>
      <c r="M228" s="60"/>
      <c r="N228" s="61"/>
      <c r="O228" s="61"/>
      <c r="P228" s="145">
        <v>157</v>
      </c>
      <c r="Q228" s="62"/>
      <c r="R228" s="60"/>
      <c r="S228" s="61"/>
      <c r="T228" s="61"/>
      <c r="U228" s="61"/>
      <c r="V228" s="61"/>
      <c r="W228" s="145">
        <v>18</v>
      </c>
      <c r="X228" s="62"/>
      <c r="Y228" s="60"/>
      <c r="Z228" s="61"/>
      <c r="AA228" s="61"/>
      <c r="AB228" s="145"/>
      <c r="AC228" s="61"/>
      <c r="AD228" s="152"/>
      <c r="AE228" s="64"/>
      <c r="AF228" s="270"/>
      <c r="AG228" s="65"/>
      <c r="AH228" s="65"/>
      <c r="AI228" s="65"/>
      <c r="AJ228" s="65"/>
      <c r="AK228" s="196">
        <v>135458.66</v>
      </c>
      <c r="AL228" s="66"/>
      <c r="AM228" s="270"/>
      <c r="AN228" s="65"/>
      <c r="AO228" s="65"/>
      <c r="AP228" s="65"/>
      <c r="AQ228" s="65"/>
      <c r="AR228" s="196">
        <v>31610.67</v>
      </c>
      <c r="AS228" s="66"/>
      <c r="AT228" s="276"/>
      <c r="AU228" s="67"/>
      <c r="AV228" s="67"/>
      <c r="AW228" s="67"/>
      <c r="AX228" s="67"/>
      <c r="AY228" s="190">
        <f t="shared" si="131"/>
        <v>0.23336027390201555</v>
      </c>
      <c r="AZ228" s="68"/>
      <c r="BA228" s="276" t="s">
        <v>226</v>
      </c>
      <c r="BB228" s="69"/>
      <c r="BC228" s="69"/>
      <c r="BD228" s="69"/>
      <c r="BE228" s="69"/>
      <c r="BF228" s="199">
        <f t="shared" si="140"/>
        <v>23.336027390201554</v>
      </c>
      <c r="BG228" s="70"/>
      <c r="BH228" s="60" t="s">
        <v>226</v>
      </c>
      <c r="BI228" s="71"/>
      <c r="BJ228" s="71"/>
      <c r="BK228" s="71"/>
      <c r="BL228" s="71"/>
      <c r="BM228" s="200"/>
      <c r="BN228" s="72"/>
      <c r="BO228" s="276"/>
      <c r="BP228" s="67"/>
      <c r="BQ228" s="67"/>
      <c r="BR228" s="190">
        <f>W228/P228</f>
        <v>0.11464968152866242</v>
      </c>
      <c r="BS228" s="190"/>
      <c r="BT228" s="73"/>
      <c r="BU228" s="73"/>
    </row>
    <row r="229" spans="1:73" s="14" customFormat="1" x14ac:dyDescent="0.25">
      <c r="A229" s="13">
        <v>102</v>
      </c>
      <c r="B229" s="59" t="s">
        <v>59</v>
      </c>
      <c r="C229" s="60">
        <v>0</v>
      </c>
      <c r="D229" s="61">
        <v>0</v>
      </c>
      <c r="E229" s="61">
        <v>0</v>
      </c>
      <c r="F229" s="145"/>
      <c r="G229" s="62">
        <v>1</v>
      </c>
      <c r="H229" s="60">
        <v>11</v>
      </c>
      <c r="I229" s="61">
        <v>11</v>
      </c>
      <c r="J229" s="61">
        <v>11</v>
      </c>
      <c r="K229" s="145"/>
      <c r="L229" s="62">
        <v>11</v>
      </c>
      <c r="M229" s="60">
        <v>7</v>
      </c>
      <c r="N229" s="61">
        <v>9</v>
      </c>
      <c r="O229" s="61">
        <v>6</v>
      </c>
      <c r="P229" s="145"/>
      <c r="Q229" s="62">
        <v>0</v>
      </c>
      <c r="R229" s="60">
        <v>0</v>
      </c>
      <c r="S229" s="61">
        <v>0</v>
      </c>
      <c r="T229" s="61">
        <v>0</v>
      </c>
      <c r="U229" s="61">
        <v>0</v>
      </c>
      <c r="V229" s="61">
        <v>0</v>
      </c>
      <c r="W229" s="145"/>
      <c r="X229" s="62">
        <v>0</v>
      </c>
      <c r="Y229" s="61" t="s">
        <v>412</v>
      </c>
      <c r="Z229" s="61" t="s">
        <v>412</v>
      </c>
      <c r="AA229" s="61" t="s">
        <v>412</v>
      </c>
      <c r="AB229" s="61" t="s">
        <v>412</v>
      </c>
      <c r="AC229" s="61" t="s">
        <v>412</v>
      </c>
      <c r="AD229" s="152"/>
      <c r="AE229" s="152" t="s">
        <v>411</v>
      </c>
      <c r="AF229" s="270">
        <v>1245.96</v>
      </c>
      <c r="AG229" s="65">
        <v>1246.96</v>
      </c>
      <c r="AH229" s="65">
        <v>1247.96</v>
      </c>
      <c r="AI229" s="65">
        <v>1248.96</v>
      </c>
      <c r="AJ229" s="65">
        <v>1249.96</v>
      </c>
      <c r="AK229" s="196"/>
      <c r="AL229" s="66">
        <v>1142.1300000000001</v>
      </c>
      <c r="AM229" s="270">
        <v>52</v>
      </c>
      <c r="AN229" s="65">
        <v>64</v>
      </c>
      <c r="AO229" s="65">
        <v>56</v>
      </c>
      <c r="AP229" s="65">
        <v>72</v>
      </c>
      <c r="AQ229" s="65">
        <v>52</v>
      </c>
      <c r="AR229" s="196"/>
      <c r="AS229" s="66">
        <v>0</v>
      </c>
      <c r="AT229" s="276">
        <f t="shared" si="102"/>
        <v>4.173488715528588E-2</v>
      </c>
      <c r="AU229" s="67">
        <f t="shared" si="103"/>
        <v>5.1324821967023801E-2</v>
      </c>
      <c r="AV229" s="67">
        <f t="shared" si="104"/>
        <v>4.4873233116446039E-2</v>
      </c>
      <c r="AW229" s="67">
        <f t="shared" si="105"/>
        <v>5.764796310530361E-2</v>
      </c>
      <c r="AX229" s="67">
        <f t="shared" si="106"/>
        <v>4.1601331242599765E-2</v>
      </c>
      <c r="AY229" s="190"/>
      <c r="AZ229" s="68">
        <f t="shared" si="137"/>
        <v>0</v>
      </c>
      <c r="BA229" s="276" t="s">
        <v>226</v>
      </c>
      <c r="BB229" s="69">
        <f>(AU229-$AT229)*100</f>
        <v>0.95899348117379213</v>
      </c>
      <c r="BC229" s="69">
        <f>(AV229-$AT229)*100</f>
        <v>0.31383459611601594</v>
      </c>
      <c r="BD229" s="69">
        <f t="shared" si="99"/>
        <v>1.591307595001773</v>
      </c>
      <c r="BE229" s="69">
        <f t="shared" si="100"/>
        <v>-1.3355591268611466E-2</v>
      </c>
      <c r="BF229" s="199"/>
      <c r="BG229" s="70">
        <f t="shared" si="141"/>
        <v>-4.1734887155285882</v>
      </c>
      <c r="BH229" s="60" t="s">
        <v>226</v>
      </c>
      <c r="BI229" s="71">
        <f t="shared" si="94"/>
        <v>0.95899348117379213</v>
      </c>
      <c r="BJ229" s="71">
        <f t="shared" si="95"/>
        <v>-0.64515888505777619</v>
      </c>
      <c r="BK229" s="71">
        <f t="shared" si="96"/>
        <v>1.2774729988857572</v>
      </c>
      <c r="BL229" s="71">
        <f t="shared" si="97"/>
        <v>-1.6046631862703844</v>
      </c>
      <c r="BM229" s="200"/>
      <c r="BN229" s="72"/>
      <c r="BO229" s="276">
        <f t="shared" ref="BO229:BQ230" si="145">T229/M229</f>
        <v>0</v>
      </c>
      <c r="BP229" s="67">
        <f t="shared" si="145"/>
        <v>0</v>
      </c>
      <c r="BQ229" s="67">
        <f t="shared" si="145"/>
        <v>0</v>
      </c>
      <c r="BR229" s="190"/>
      <c r="BS229" s="190"/>
      <c r="BT229" s="73"/>
      <c r="BU229" s="73"/>
    </row>
    <row r="230" spans="1:73" s="14" customFormat="1" x14ac:dyDescent="0.25">
      <c r="A230" s="13">
        <v>103</v>
      </c>
      <c r="B230" s="59" t="s">
        <v>60</v>
      </c>
      <c r="C230" s="60">
        <v>0</v>
      </c>
      <c r="D230" s="61">
        <v>0</v>
      </c>
      <c r="E230" s="61">
        <v>0</v>
      </c>
      <c r="F230" s="145"/>
      <c r="G230" s="62"/>
      <c r="H230" s="60">
        <v>61</v>
      </c>
      <c r="I230" s="61">
        <v>61</v>
      </c>
      <c r="J230" s="61">
        <v>61</v>
      </c>
      <c r="K230" s="145"/>
      <c r="L230" s="62"/>
      <c r="M230" s="60">
        <v>8</v>
      </c>
      <c r="N230" s="61">
        <v>9</v>
      </c>
      <c r="O230" s="61">
        <v>18</v>
      </c>
      <c r="P230" s="145"/>
      <c r="Q230" s="62"/>
      <c r="R230" s="60">
        <v>2</v>
      </c>
      <c r="S230" s="61">
        <v>0</v>
      </c>
      <c r="T230" s="61">
        <v>1</v>
      </c>
      <c r="U230" s="61">
        <v>0</v>
      </c>
      <c r="V230" s="61">
        <v>2</v>
      </c>
      <c r="W230" s="145"/>
      <c r="X230" s="62"/>
      <c r="Y230" s="60">
        <v>14.82</v>
      </c>
      <c r="Z230" s="61">
        <v>18.53</v>
      </c>
      <c r="AA230" s="61">
        <v>18.53</v>
      </c>
      <c r="AB230" s="145">
        <v>20.38</v>
      </c>
      <c r="AC230" s="61">
        <v>20.38</v>
      </c>
      <c r="AD230" s="152"/>
      <c r="AE230" s="64"/>
      <c r="AF230" s="270">
        <v>11832</v>
      </c>
      <c r="AG230" s="65">
        <v>13890</v>
      </c>
      <c r="AH230" s="65">
        <v>14711</v>
      </c>
      <c r="AI230" s="65">
        <v>18389</v>
      </c>
      <c r="AJ230" s="65">
        <v>20228</v>
      </c>
      <c r="AK230" s="196"/>
      <c r="AL230" s="66"/>
      <c r="AM230" s="270">
        <v>1965</v>
      </c>
      <c r="AN230" s="65">
        <v>2777</v>
      </c>
      <c r="AO230" s="65">
        <v>3890</v>
      </c>
      <c r="AP230" s="65">
        <v>5658</v>
      </c>
      <c r="AQ230" s="65">
        <v>9174</v>
      </c>
      <c r="AR230" s="196"/>
      <c r="AS230" s="66"/>
      <c r="AT230" s="276">
        <f t="shared" si="102"/>
        <v>0.16607505070993914</v>
      </c>
      <c r="AU230" s="67">
        <f t="shared" si="103"/>
        <v>0.19992800575953923</v>
      </c>
      <c r="AV230" s="67">
        <f t="shared" si="104"/>
        <v>0.26442797906328597</v>
      </c>
      <c r="AW230" s="67">
        <f t="shared" si="105"/>
        <v>0.30768394148675837</v>
      </c>
      <c r="AX230" s="67">
        <f t="shared" si="106"/>
        <v>0.45352976072770418</v>
      </c>
      <c r="AY230" s="190"/>
      <c r="AZ230" s="68"/>
      <c r="BA230" s="276" t="s">
        <v>226</v>
      </c>
      <c r="BB230" s="69">
        <f>(AU230-$AT230)*100</f>
        <v>3.3852955049600091</v>
      </c>
      <c r="BC230" s="69">
        <f>(AV230-$AT230)*100</f>
        <v>9.8352928353346822</v>
      </c>
      <c r="BD230" s="69">
        <f t="shared" si="99"/>
        <v>14.160889077681924</v>
      </c>
      <c r="BE230" s="69">
        <f t="shared" si="100"/>
        <v>28.745471001776501</v>
      </c>
      <c r="BF230" s="199"/>
      <c r="BG230" s="70"/>
      <c r="BH230" s="60" t="s">
        <v>226</v>
      </c>
      <c r="BI230" s="71">
        <f t="shared" si="94"/>
        <v>3.3852955049600091</v>
      </c>
      <c r="BJ230" s="71">
        <f t="shared" si="95"/>
        <v>6.449997330374674</v>
      </c>
      <c r="BK230" s="71">
        <f t="shared" si="96"/>
        <v>4.3255962423472401</v>
      </c>
      <c r="BL230" s="71">
        <f t="shared" si="97"/>
        <v>14.58458192409458</v>
      </c>
      <c r="BM230" s="200"/>
      <c r="BN230" s="72"/>
      <c r="BO230" s="276">
        <f t="shared" si="145"/>
        <v>0.125</v>
      </c>
      <c r="BP230" s="67">
        <f t="shared" si="145"/>
        <v>0</v>
      </c>
      <c r="BQ230" s="67">
        <f t="shared" si="145"/>
        <v>0.1111111111111111</v>
      </c>
      <c r="BR230" s="190"/>
      <c r="BS230" s="190"/>
      <c r="BT230" s="73"/>
      <c r="BU230" s="73"/>
    </row>
    <row r="231" spans="1:73" x14ac:dyDescent="0.25">
      <c r="A231" s="15">
        <v>104</v>
      </c>
      <c r="B231" s="74" t="s">
        <v>61</v>
      </c>
      <c r="C231" s="246"/>
      <c r="D231" s="75"/>
      <c r="E231" s="75"/>
      <c r="F231" s="146"/>
      <c r="G231" s="76"/>
      <c r="H231" s="246"/>
      <c r="I231" s="75"/>
      <c r="J231" s="75"/>
      <c r="K231" s="146"/>
      <c r="L231" s="76"/>
      <c r="M231" s="246"/>
      <c r="N231" s="75"/>
      <c r="O231" s="75"/>
      <c r="P231" s="146"/>
      <c r="Q231" s="76"/>
      <c r="R231" s="246"/>
      <c r="S231" s="75"/>
      <c r="T231" s="75"/>
      <c r="U231" s="75"/>
      <c r="V231" s="75"/>
      <c r="W231" s="146"/>
      <c r="X231" s="76"/>
      <c r="Y231" s="246"/>
      <c r="Z231" s="75"/>
      <c r="AA231" s="75"/>
      <c r="AB231" s="146"/>
      <c r="AC231" s="75"/>
      <c r="AD231" s="258"/>
      <c r="AE231" s="160"/>
      <c r="AF231" s="271"/>
      <c r="AG231" s="77"/>
      <c r="AH231" s="77"/>
      <c r="AI231" s="77"/>
      <c r="AJ231" s="77"/>
      <c r="AK231" s="265"/>
      <c r="AL231" s="78"/>
      <c r="AM231" s="271"/>
      <c r="AN231" s="77"/>
      <c r="AO231" s="77"/>
      <c r="AP231" s="77"/>
      <c r="AQ231" s="77"/>
      <c r="AR231" s="265"/>
      <c r="AS231" s="78"/>
      <c r="AT231" s="277"/>
      <c r="AU231" s="79"/>
      <c r="AV231" s="79"/>
      <c r="AW231" s="79"/>
      <c r="AX231" s="79"/>
      <c r="AY231" s="274"/>
      <c r="AZ231" s="80"/>
      <c r="BA231" s="277" t="s">
        <v>226</v>
      </c>
      <c r="BB231" s="81"/>
      <c r="BC231" s="81"/>
      <c r="BD231" s="81"/>
      <c r="BE231" s="81"/>
      <c r="BF231" s="282"/>
      <c r="BG231" s="82"/>
      <c r="BH231" s="246" t="s">
        <v>226</v>
      </c>
      <c r="BI231" s="83"/>
      <c r="BJ231" s="83"/>
      <c r="BK231" s="83"/>
      <c r="BL231" s="83"/>
      <c r="BM231" s="286"/>
      <c r="BN231" s="84"/>
      <c r="BO231" s="277"/>
      <c r="BP231" s="79"/>
      <c r="BQ231" s="79"/>
      <c r="BR231" s="274"/>
      <c r="BS231" s="274"/>
      <c r="BT231" s="419"/>
      <c r="BU231" s="419"/>
    </row>
    <row r="232" spans="1:73" s="14" customFormat="1" x14ac:dyDescent="0.25">
      <c r="A232" s="13"/>
      <c r="B232" s="59" t="s">
        <v>281</v>
      </c>
      <c r="C232" s="60">
        <v>8</v>
      </c>
      <c r="D232" s="61">
        <v>8</v>
      </c>
      <c r="E232" s="61">
        <v>8</v>
      </c>
      <c r="F232" s="145"/>
      <c r="G232" s="62"/>
      <c r="H232" s="60">
        <v>259</v>
      </c>
      <c r="I232" s="61">
        <v>258</v>
      </c>
      <c r="J232" s="61">
        <v>261</v>
      </c>
      <c r="K232" s="145"/>
      <c r="L232" s="62"/>
      <c r="M232" s="60">
        <v>116</v>
      </c>
      <c r="N232" s="61">
        <v>116</v>
      </c>
      <c r="O232" s="61">
        <v>84</v>
      </c>
      <c r="P232" s="145"/>
      <c r="Q232" s="62"/>
      <c r="R232" s="60"/>
      <c r="S232" s="61"/>
      <c r="T232" s="61"/>
      <c r="U232" s="61"/>
      <c r="V232" s="61"/>
      <c r="W232" s="145"/>
      <c r="X232" s="62"/>
      <c r="Y232" s="60" t="s">
        <v>105</v>
      </c>
      <c r="Z232" s="61">
        <v>31.34</v>
      </c>
      <c r="AA232" s="61">
        <v>34.450000000000003</v>
      </c>
      <c r="AB232" s="145">
        <v>33.64</v>
      </c>
      <c r="AC232" s="61">
        <v>33.64</v>
      </c>
      <c r="AD232" s="152"/>
      <c r="AE232" s="64"/>
      <c r="AF232" s="270">
        <v>4079.5</v>
      </c>
      <c r="AG232" s="65">
        <v>39984.46</v>
      </c>
      <c r="AH232" s="65">
        <v>55225.33</v>
      </c>
      <c r="AI232" s="65">
        <v>60208.89</v>
      </c>
      <c r="AJ232" s="65">
        <v>53059.18</v>
      </c>
      <c r="AK232" s="196"/>
      <c r="AL232" s="66"/>
      <c r="AM232" s="270">
        <v>3420.23</v>
      </c>
      <c r="AN232" s="65">
        <v>5677.8</v>
      </c>
      <c r="AO232" s="65">
        <v>7405.24</v>
      </c>
      <c r="AP232" s="65">
        <v>12661.39</v>
      </c>
      <c r="AQ232" s="65">
        <v>12415.36</v>
      </c>
      <c r="AR232" s="196"/>
      <c r="AS232" s="66"/>
      <c r="AT232" s="276">
        <f t="shared" si="102"/>
        <v>0.83839441107978918</v>
      </c>
      <c r="AU232" s="67">
        <f t="shared" si="103"/>
        <v>0.14200016706490473</v>
      </c>
      <c r="AV232" s="67">
        <f t="shared" si="104"/>
        <v>0.13409136713171294</v>
      </c>
      <c r="AW232" s="67">
        <f t="shared" si="105"/>
        <v>0.21029103841641988</v>
      </c>
      <c r="AX232" s="67">
        <f t="shared" si="106"/>
        <v>0.2339908004609193</v>
      </c>
      <c r="AY232" s="190"/>
      <c r="AZ232" s="68"/>
      <c r="BA232" s="276" t="s">
        <v>226</v>
      </c>
      <c r="BB232" s="69">
        <f>(AU232-$AT232)*100</f>
        <v>-69.639424401488441</v>
      </c>
      <c r="BC232" s="69">
        <f>(AV232-$AT232)*100</f>
        <v>-70.430304394807621</v>
      </c>
      <c r="BD232" s="69">
        <f t="shared" si="99"/>
        <v>-62.810337266336937</v>
      </c>
      <c r="BE232" s="69">
        <f t="shared" si="100"/>
        <v>-60.440361061886996</v>
      </c>
      <c r="BF232" s="199"/>
      <c r="BG232" s="70"/>
      <c r="BH232" s="60" t="s">
        <v>226</v>
      </c>
      <c r="BI232" s="71">
        <f t="shared" si="94"/>
        <v>-69.639424401488441</v>
      </c>
      <c r="BJ232" s="71">
        <f t="shared" si="95"/>
        <v>-0.79087999331917958</v>
      </c>
      <c r="BK232" s="71">
        <f t="shared" si="96"/>
        <v>7.6199671284706945</v>
      </c>
      <c r="BL232" s="71">
        <f t="shared" si="97"/>
        <v>2.3699762044499417</v>
      </c>
      <c r="BM232" s="200"/>
      <c r="BN232" s="72"/>
      <c r="BO232" s="276">
        <f t="shared" ref="BO232:BQ233" si="146">T232/M232</f>
        <v>0</v>
      </c>
      <c r="BP232" s="67">
        <f t="shared" si="146"/>
        <v>0</v>
      </c>
      <c r="BQ232" s="67">
        <f t="shared" si="146"/>
        <v>0</v>
      </c>
      <c r="BR232" s="190"/>
      <c r="BS232" s="190"/>
      <c r="BT232" s="73"/>
      <c r="BU232" s="73"/>
    </row>
    <row r="233" spans="1:73" s="14" customFormat="1" x14ac:dyDescent="0.25">
      <c r="A233" s="13"/>
      <c r="B233" s="59" t="s">
        <v>106</v>
      </c>
      <c r="C233" s="60">
        <v>0</v>
      </c>
      <c r="D233" s="61">
        <v>0</v>
      </c>
      <c r="E233" s="61">
        <v>0</v>
      </c>
      <c r="F233" s="145"/>
      <c r="G233" s="62"/>
      <c r="H233" s="60">
        <v>265</v>
      </c>
      <c r="I233" s="61">
        <v>569</v>
      </c>
      <c r="J233" s="61">
        <v>564</v>
      </c>
      <c r="K233" s="145"/>
      <c r="L233" s="62"/>
      <c r="M233" s="60">
        <v>56</v>
      </c>
      <c r="N233" s="61">
        <v>86</v>
      </c>
      <c r="O233" s="61">
        <v>83</v>
      </c>
      <c r="P233" s="145"/>
      <c r="Q233" s="62"/>
      <c r="R233" s="60">
        <v>3</v>
      </c>
      <c r="S233" s="61">
        <v>4</v>
      </c>
      <c r="T233" s="61">
        <v>0</v>
      </c>
      <c r="U233" s="61">
        <v>0</v>
      </c>
      <c r="V233" s="61">
        <v>0</v>
      </c>
      <c r="W233" s="145"/>
      <c r="X233" s="62"/>
      <c r="Y233" s="60">
        <v>19.18</v>
      </c>
      <c r="Z233" s="61">
        <v>26.04</v>
      </c>
      <c r="AA233" s="61">
        <v>33.07</v>
      </c>
      <c r="AB233" s="145">
        <v>29.76</v>
      </c>
      <c r="AC233" s="61">
        <v>29.76</v>
      </c>
      <c r="AD233" s="152"/>
      <c r="AE233" s="64"/>
      <c r="AF233" s="270">
        <v>91289</v>
      </c>
      <c r="AG233" s="65">
        <v>128209</v>
      </c>
      <c r="AH233" s="65">
        <v>166931</v>
      </c>
      <c r="AI233" s="65">
        <v>194041</v>
      </c>
      <c r="AJ233" s="65">
        <v>185682</v>
      </c>
      <c r="AK233" s="196"/>
      <c r="AL233" s="66"/>
      <c r="AM233" s="270">
        <v>16898</v>
      </c>
      <c r="AN233" s="65">
        <v>18803</v>
      </c>
      <c r="AO233" s="65">
        <v>28496</v>
      </c>
      <c r="AP233" s="65">
        <v>47284</v>
      </c>
      <c r="AQ233" s="65">
        <v>74313</v>
      </c>
      <c r="AR233" s="196"/>
      <c r="AS233" s="66"/>
      <c r="AT233" s="276">
        <f t="shared" si="102"/>
        <v>0.18510444850967805</v>
      </c>
      <c r="AU233" s="67">
        <f t="shared" si="103"/>
        <v>0.14665897089907884</v>
      </c>
      <c r="AV233" s="67">
        <f t="shared" si="104"/>
        <v>0.17070526145533185</v>
      </c>
      <c r="AW233" s="67">
        <f t="shared" si="105"/>
        <v>0.24368045928437804</v>
      </c>
      <c r="AX233" s="67">
        <f t="shared" si="106"/>
        <v>0.4002164991760106</v>
      </c>
      <c r="AY233" s="190"/>
      <c r="AZ233" s="68"/>
      <c r="BA233" s="276" t="s">
        <v>226</v>
      </c>
      <c r="BB233" s="69">
        <f>(AU233-$AT233)*100</f>
        <v>-3.8445477610599217</v>
      </c>
      <c r="BC233" s="69">
        <f>(AV233-$AT233)*100</f>
        <v>-1.4399187054346201</v>
      </c>
      <c r="BD233" s="69">
        <f t="shared" si="99"/>
        <v>5.8576010774699983</v>
      </c>
      <c r="BE233" s="69">
        <f t="shared" si="100"/>
        <v>21.511205066633256</v>
      </c>
      <c r="BF233" s="199"/>
      <c r="BG233" s="70"/>
      <c r="BH233" s="60" t="s">
        <v>226</v>
      </c>
      <c r="BI233" s="71">
        <f t="shared" si="94"/>
        <v>-3.8445477610599217</v>
      </c>
      <c r="BJ233" s="71">
        <f t="shared" si="95"/>
        <v>2.4046290556253016</v>
      </c>
      <c r="BK233" s="71">
        <f t="shared" si="96"/>
        <v>7.2975197829046188</v>
      </c>
      <c r="BL233" s="71">
        <f t="shared" si="97"/>
        <v>15.653603989163257</v>
      </c>
      <c r="BM233" s="200"/>
      <c r="BN233" s="72"/>
      <c r="BO233" s="276">
        <f t="shared" si="146"/>
        <v>0</v>
      </c>
      <c r="BP233" s="67">
        <f t="shared" si="146"/>
        <v>0</v>
      </c>
      <c r="BQ233" s="67">
        <f t="shared" si="146"/>
        <v>0</v>
      </c>
      <c r="BR233" s="190"/>
      <c r="BS233" s="190"/>
      <c r="BT233" s="73"/>
      <c r="BU233" s="73"/>
    </row>
    <row r="234" spans="1:73" s="14" customFormat="1" x14ac:dyDescent="0.25">
      <c r="A234" s="13">
        <v>105</v>
      </c>
      <c r="B234" s="59" t="s">
        <v>420</v>
      </c>
      <c r="C234" s="60"/>
      <c r="D234" s="61"/>
      <c r="E234" s="61"/>
      <c r="F234" s="145">
        <v>0</v>
      </c>
      <c r="G234" s="62">
        <v>0</v>
      </c>
      <c r="H234" s="60"/>
      <c r="I234" s="61"/>
      <c r="J234" s="61"/>
      <c r="K234" s="145">
        <v>650</v>
      </c>
      <c r="L234" s="62">
        <v>633</v>
      </c>
      <c r="M234" s="60"/>
      <c r="N234" s="61"/>
      <c r="O234" s="61"/>
      <c r="P234" s="145">
        <v>209</v>
      </c>
      <c r="Q234" s="62">
        <v>270</v>
      </c>
      <c r="R234" s="60"/>
      <c r="S234" s="61"/>
      <c r="T234" s="61"/>
      <c r="U234" s="61"/>
      <c r="V234" s="61"/>
      <c r="W234" s="145">
        <v>8</v>
      </c>
      <c r="X234" s="62">
        <v>0</v>
      </c>
      <c r="Y234" s="60"/>
      <c r="Z234" s="61"/>
      <c r="AA234" s="61"/>
      <c r="AB234" s="145"/>
      <c r="AC234" s="61"/>
      <c r="AD234" s="152"/>
      <c r="AE234" s="64">
        <v>27.28</v>
      </c>
      <c r="AF234" s="270"/>
      <c r="AG234" s="65"/>
      <c r="AH234" s="65"/>
      <c r="AI234" s="65"/>
      <c r="AJ234" s="65"/>
      <c r="AK234" s="196">
        <v>112017</v>
      </c>
      <c r="AL234" s="66">
        <v>182899</v>
      </c>
      <c r="AM234" s="60"/>
      <c r="AN234" s="61"/>
      <c r="AO234" s="61"/>
      <c r="AP234" s="61"/>
      <c r="AQ234" s="61"/>
      <c r="AR234" s="145">
        <v>46400</v>
      </c>
      <c r="AS234" s="62">
        <v>3999</v>
      </c>
      <c r="AT234" s="276"/>
      <c r="AU234" s="67"/>
      <c r="AV234" s="67"/>
      <c r="AW234" s="67"/>
      <c r="AX234" s="67"/>
      <c r="AY234" s="190">
        <f t="shared" si="131"/>
        <v>0.41422284117589292</v>
      </c>
      <c r="AZ234" s="68">
        <f t="shared" si="137"/>
        <v>2.1864526323271315E-2</v>
      </c>
      <c r="BA234" s="276" t="s">
        <v>226</v>
      </c>
      <c r="BB234" s="69"/>
      <c r="BC234" s="69"/>
      <c r="BD234" s="69"/>
      <c r="BE234" s="69"/>
      <c r="BF234" s="199"/>
      <c r="BG234" s="70"/>
      <c r="BH234" s="60" t="s">
        <v>226</v>
      </c>
      <c r="BI234" s="71"/>
      <c r="BJ234" s="71"/>
      <c r="BK234" s="71"/>
      <c r="BL234" s="71"/>
      <c r="BM234" s="200"/>
      <c r="BN234" s="72">
        <f t="shared" si="143"/>
        <v>-39.23583148526216</v>
      </c>
      <c r="BO234" s="276"/>
      <c r="BP234" s="67"/>
      <c r="BQ234" s="67"/>
      <c r="BR234" s="190">
        <f>W234/P234</f>
        <v>3.8277511961722487E-2</v>
      </c>
      <c r="BS234" s="190">
        <f>X234/Q234</f>
        <v>0</v>
      </c>
      <c r="BT234" s="73"/>
      <c r="BU234" s="73">
        <f>(Q234-P234)/P234</f>
        <v>0.291866028708134</v>
      </c>
    </row>
    <row r="235" spans="1:73" s="14" customFormat="1" x14ac:dyDescent="0.25">
      <c r="A235" s="13"/>
      <c r="B235" s="59" t="s">
        <v>107</v>
      </c>
      <c r="C235" s="60">
        <v>11</v>
      </c>
      <c r="D235" s="61">
        <v>11</v>
      </c>
      <c r="E235" s="61">
        <v>11</v>
      </c>
      <c r="F235" s="145"/>
      <c r="G235" s="62"/>
      <c r="H235" s="60">
        <v>240</v>
      </c>
      <c r="I235" s="61">
        <v>240</v>
      </c>
      <c r="J235" s="61">
        <v>240</v>
      </c>
      <c r="K235" s="145"/>
      <c r="L235" s="62"/>
      <c r="M235" s="60">
        <v>26</v>
      </c>
      <c r="N235" s="61">
        <v>31</v>
      </c>
      <c r="O235" s="61">
        <v>55</v>
      </c>
      <c r="P235" s="145"/>
      <c r="Q235" s="62"/>
      <c r="R235" s="60">
        <v>2</v>
      </c>
      <c r="S235" s="61">
        <v>1</v>
      </c>
      <c r="T235" s="61">
        <v>0</v>
      </c>
      <c r="U235" s="61">
        <v>0</v>
      </c>
      <c r="V235" s="61">
        <v>0</v>
      </c>
      <c r="W235" s="145"/>
      <c r="X235" s="62"/>
      <c r="Y235" s="60">
        <v>16.59</v>
      </c>
      <c r="Z235" s="61"/>
      <c r="AA235" s="61">
        <v>19.89</v>
      </c>
      <c r="AB235" s="145"/>
      <c r="AC235" s="61" t="s">
        <v>108</v>
      </c>
      <c r="AD235" s="152"/>
      <c r="AE235" s="64"/>
      <c r="AF235" s="270">
        <v>30012</v>
      </c>
      <c r="AG235" s="65">
        <v>42362</v>
      </c>
      <c r="AH235" s="65">
        <v>46856</v>
      </c>
      <c r="AI235" s="65">
        <v>46855</v>
      </c>
      <c r="AJ235" s="65">
        <v>54921</v>
      </c>
      <c r="AK235" s="196"/>
      <c r="AL235" s="66"/>
      <c r="AM235" s="270">
        <v>14255</v>
      </c>
      <c r="AN235" s="65">
        <v>16340</v>
      </c>
      <c r="AO235" s="65">
        <v>17820</v>
      </c>
      <c r="AP235" s="65">
        <v>19340</v>
      </c>
      <c r="AQ235" s="65">
        <v>23250</v>
      </c>
      <c r="AR235" s="196"/>
      <c r="AS235" s="66"/>
      <c r="AT235" s="276">
        <f t="shared" si="102"/>
        <v>0.47497667599626814</v>
      </c>
      <c r="AU235" s="67">
        <f t="shared" si="103"/>
        <v>0.38572305368018506</v>
      </c>
      <c r="AV235" s="67">
        <f t="shared" si="104"/>
        <v>0.38031415400375618</v>
      </c>
      <c r="AW235" s="67">
        <f t="shared" si="105"/>
        <v>0.41276277878561518</v>
      </c>
      <c r="AX235" s="67">
        <f t="shared" si="106"/>
        <v>0.42333533621019281</v>
      </c>
      <c r="AY235" s="190"/>
      <c r="AZ235" s="68"/>
      <c r="BA235" s="276" t="s">
        <v>226</v>
      </c>
      <c r="BB235" s="69">
        <f t="shared" ref="BB235:BC237" si="147">(AU235-$AT235)*100</f>
        <v>-8.9253622316083074</v>
      </c>
      <c r="BC235" s="69">
        <f t="shared" si="147"/>
        <v>-9.4662521992511959</v>
      </c>
      <c r="BD235" s="69">
        <f t="shared" si="99"/>
        <v>-6.2213897210652958</v>
      </c>
      <c r="BE235" s="69">
        <f t="shared" si="100"/>
        <v>-5.1641339786075324</v>
      </c>
      <c r="BF235" s="199"/>
      <c r="BG235" s="70"/>
      <c r="BH235" s="60" t="s">
        <v>226</v>
      </c>
      <c r="BI235" s="71">
        <f t="shared" si="94"/>
        <v>-8.9253622316083074</v>
      </c>
      <c r="BJ235" s="71">
        <f t="shared" si="95"/>
        <v>-0.54088996764288799</v>
      </c>
      <c r="BK235" s="71">
        <f t="shared" si="96"/>
        <v>3.2448624781859001</v>
      </c>
      <c r="BL235" s="71">
        <f t="shared" si="97"/>
        <v>1.0572557424577633</v>
      </c>
      <c r="BM235" s="200"/>
      <c r="BN235" s="72"/>
      <c r="BO235" s="276">
        <f t="shared" ref="BO235:BO247" si="148">T235/M235</f>
        <v>0</v>
      </c>
      <c r="BP235" s="67">
        <f t="shared" ref="BP235:BP247" si="149">U235/N235</f>
        <v>0</v>
      </c>
      <c r="BQ235" s="67">
        <f t="shared" ref="BQ235:BQ247" si="150">V235/O235</f>
        <v>0</v>
      </c>
      <c r="BR235" s="190"/>
      <c r="BS235" s="190"/>
      <c r="BT235" s="73"/>
      <c r="BU235" s="73"/>
    </row>
    <row r="236" spans="1:73" s="14" customFormat="1" x14ac:dyDescent="0.25">
      <c r="A236" s="13"/>
      <c r="B236" s="59" t="s">
        <v>282</v>
      </c>
      <c r="C236" s="60">
        <v>0</v>
      </c>
      <c r="D236" s="61">
        <v>0</v>
      </c>
      <c r="E236" s="61">
        <v>0</v>
      </c>
      <c r="F236" s="145"/>
      <c r="G236" s="62"/>
      <c r="H236" s="60">
        <v>106</v>
      </c>
      <c r="I236" s="61">
        <v>106</v>
      </c>
      <c r="J236" s="61">
        <v>106</v>
      </c>
      <c r="K236" s="145"/>
      <c r="L236" s="62"/>
      <c r="M236" s="60">
        <v>43</v>
      </c>
      <c r="N236" s="61">
        <v>44</v>
      </c>
      <c r="O236" s="61">
        <v>62</v>
      </c>
      <c r="P236" s="145"/>
      <c r="Q236" s="62"/>
      <c r="R236" s="60"/>
      <c r="S236" s="61"/>
      <c r="T236" s="61"/>
      <c r="U236" s="61"/>
      <c r="V236" s="61"/>
      <c r="W236" s="145"/>
      <c r="X236" s="62"/>
      <c r="Y236" s="60">
        <v>9.75</v>
      </c>
      <c r="Z236" s="63">
        <v>16.5</v>
      </c>
      <c r="AA236" s="61">
        <v>20.260000000000002</v>
      </c>
      <c r="AB236" s="145">
        <v>21.27</v>
      </c>
      <c r="AC236" s="61">
        <v>27.28</v>
      </c>
      <c r="AD236" s="152"/>
      <c r="AE236" s="64"/>
      <c r="AF236" s="270">
        <v>21499.96</v>
      </c>
      <c r="AG236" s="65">
        <v>20851.86</v>
      </c>
      <c r="AH236" s="65">
        <v>25590.58</v>
      </c>
      <c r="AI236" s="65">
        <v>29788.28</v>
      </c>
      <c r="AJ236" s="65">
        <v>31441.17</v>
      </c>
      <c r="AK236" s="196"/>
      <c r="AL236" s="66"/>
      <c r="AM236" s="270">
        <v>1495.28</v>
      </c>
      <c r="AN236" s="65">
        <v>95.27</v>
      </c>
      <c r="AO236" s="65">
        <v>1085.93</v>
      </c>
      <c r="AP236" s="65">
        <v>1649.3</v>
      </c>
      <c r="AQ236" s="65">
        <v>3189.87</v>
      </c>
      <c r="AR236" s="196"/>
      <c r="AS236" s="66"/>
      <c r="AT236" s="276">
        <f t="shared" si="102"/>
        <v>6.9548036368439758E-2</v>
      </c>
      <c r="AU236" s="67">
        <f t="shared" si="103"/>
        <v>4.5688969713013608E-3</v>
      </c>
      <c r="AV236" s="67">
        <f t="shared" si="104"/>
        <v>4.2434755288860197E-2</v>
      </c>
      <c r="AW236" s="67">
        <f t="shared" si="105"/>
        <v>5.5367412955699358E-2</v>
      </c>
      <c r="AX236" s="67">
        <f t="shared" si="106"/>
        <v>0.10145519393839351</v>
      </c>
      <c r="AY236" s="190"/>
      <c r="AZ236" s="68"/>
      <c r="BA236" s="276" t="s">
        <v>226</v>
      </c>
      <c r="BB236" s="69">
        <f t="shared" si="147"/>
        <v>-6.4979139397138397</v>
      </c>
      <c r="BC236" s="69">
        <f t="shared" si="147"/>
        <v>-2.7113281079579563</v>
      </c>
      <c r="BD236" s="69">
        <f t="shared" si="99"/>
        <v>-1.4180623412740401</v>
      </c>
      <c r="BE236" s="69">
        <f t="shared" si="100"/>
        <v>3.1907157569953757</v>
      </c>
      <c r="BF236" s="199"/>
      <c r="BG236" s="70"/>
      <c r="BH236" s="60" t="s">
        <v>226</v>
      </c>
      <c r="BI236" s="71">
        <f t="shared" si="94"/>
        <v>-6.4979139397138397</v>
      </c>
      <c r="BJ236" s="71">
        <f t="shared" si="95"/>
        <v>3.7865858317558834</v>
      </c>
      <c r="BK236" s="71">
        <f t="shared" si="96"/>
        <v>1.293265766683916</v>
      </c>
      <c r="BL236" s="71">
        <f t="shared" si="97"/>
        <v>4.6087780982694158</v>
      </c>
      <c r="BM236" s="200"/>
      <c r="BN236" s="72"/>
      <c r="BO236" s="276">
        <f t="shared" si="148"/>
        <v>0</v>
      </c>
      <c r="BP236" s="67">
        <f t="shared" si="149"/>
        <v>0</v>
      </c>
      <c r="BQ236" s="67">
        <f t="shared" si="150"/>
        <v>0</v>
      </c>
      <c r="BR236" s="190"/>
      <c r="BS236" s="190"/>
      <c r="BT236" s="73"/>
      <c r="BU236" s="73"/>
    </row>
    <row r="237" spans="1:73" s="14" customFormat="1" x14ac:dyDescent="0.25">
      <c r="A237" s="13"/>
      <c r="B237" s="59" t="s">
        <v>283</v>
      </c>
      <c r="C237" s="60">
        <v>0</v>
      </c>
      <c r="D237" s="61">
        <v>0</v>
      </c>
      <c r="E237" s="61">
        <v>0</v>
      </c>
      <c r="F237" s="145"/>
      <c r="G237" s="62"/>
      <c r="H237" s="60">
        <v>176</v>
      </c>
      <c r="I237" s="61">
        <v>176</v>
      </c>
      <c r="J237" s="61">
        <v>176</v>
      </c>
      <c r="K237" s="145"/>
      <c r="L237" s="62"/>
      <c r="M237" s="60">
        <v>36</v>
      </c>
      <c r="N237" s="61">
        <v>38</v>
      </c>
      <c r="O237" s="61">
        <v>33</v>
      </c>
      <c r="P237" s="145"/>
      <c r="Q237" s="62"/>
      <c r="R237" s="60">
        <v>0</v>
      </c>
      <c r="S237" s="61">
        <v>9</v>
      </c>
      <c r="T237" s="61">
        <v>0</v>
      </c>
      <c r="U237" s="61">
        <v>1</v>
      </c>
      <c r="V237" s="61">
        <v>0</v>
      </c>
      <c r="W237" s="145"/>
      <c r="X237" s="62"/>
      <c r="Y237" s="60" t="s">
        <v>109</v>
      </c>
      <c r="Z237" s="61"/>
      <c r="AA237" s="61"/>
      <c r="AB237" s="145"/>
      <c r="AC237" s="61" t="s">
        <v>99</v>
      </c>
      <c r="AD237" s="152"/>
      <c r="AE237" s="64"/>
      <c r="AF237" s="270">
        <v>27358</v>
      </c>
      <c r="AG237" s="65">
        <v>28183</v>
      </c>
      <c r="AH237" s="65">
        <v>28197</v>
      </c>
      <c r="AI237" s="65">
        <v>29198</v>
      </c>
      <c r="AJ237" s="65">
        <v>27125</v>
      </c>
      <c r="AK237" s="196"/>
      <c r="AL237" s="66"/>
      <c r="AM237" s="270">
        <v>21772</v>
      </c>
      <c r="AN237" s="65">
        <v>17095</v>
      </c>
      <c r="AO237" s="65">
        <v>11093</v>
      </c>
      <c r="AP237" s="65">
        <v>10126</v>
      </c>
      <c r="AQ237" s="65">
        <v>13051</v>
      </c>
      <c r="AR237" s="196"/>
      <c r="AS237" s="66"/>
      <c r="AT237" s="276">
        <f t="shared" si="102"/>
        <v>0.79581840777834634</v>
      </c>
      <c r="AU237" s="67">
        <f t="shared" si="103"/>
        <v>0.6065713373310152</v>
      </c>
      <c r="AV237" s="67">
        <f t="shared" si="104"/>
        <v>0.39341064652267971</v>
      </c>
      <c r="AW237" s="67">
        <f t="shared" si="105"/>
        <v>0.34680457565586686</v>
      </c>
      <c r="AX237" s="67">
        <f t="shared" si="106"/>
        <v>0.48114285714285715</v>
      </c>
      <c r="AY237" s="190"/>
      <c r="AZ237" s="68"/>
      <c r="BA237" s="276" t="s">
        <v>226</v>
      </c>
      <c r="BB237" s="69">
        <f t="shared" si="147"/>
        <v>-18.924707044733115</v>
      </c>
      <c r="BC237" s="69">
        <f t="shared" si="147"/>
        <v>-40.240776125566661</v>
      </c>
      <c r="BD237" s="69">
        <f t="shared" si="99"/>
        <v>-44.90138321224795</v>
      </c>
      <c r="BE237" s="69">
        <f t="shared" si="100"/>
        <v>-31.467555063548918</v>
      </c>
      <c r="BF237" s="199"/>
      <c r="BG237" s="70"/>
      <c r="BH237" s="60" t="s">
        <v>226</v>
      </c>
      <c r="BI237" s="71">
        <f t="shared" si="94"/>
        <v>-18.924707044733115</v>
      </c>
      <c r="BJ237" s="71">
        <f t="shared" si="95"/>
        <v>-21.31606908083355</v>
      </c>
      <c r="BK237" s="71">
        <f t="shared" si="96"/>
        <v>-4.6606070866812841</v>
      </c>
      <c r="BL237" s="71">
        <f t="shared" si="97"/>
        <v>13.433828148699028</v>
      </c>
      <c r="BM237" s="200"/>
      <c r="BN237" s="72"/>
      <c r="BO237" s="276">
        <f t="shared" si="148"/>
        <v>0</v>
      </c>
      <c r="BP237" s="67">
        <f t="shared" si="149"/>
        <v>2.6315789473684209E-2</v>
      </c>
      <c r="BQ237" s="67">
        <f t="shared" si="150"/>
        <v>0</v>
      </c>
      <c r="BR237" s="190"/>
      <c r="BS237" s="190"/>
      <c r="BT237" s="73"/>
      <c r="BU237" s="73"/>
    </row>
    <row r="238" spans="1:73" s="9" customFormat="1" x14ac:dyDescent="0.25">
      <c r="A238" s="12"/>
      <c r="B238" s="17" t="s">
        <v>110</v>
      </c>
      <c r="C238" s="2">
        <v>18</v>
      </c>
      <c r="D238" s="3">
        <v>18</v>
      </c>
      <c r="E238" s="3">
        <v>17</v>
      </c>
      <c r="F238" s="144">
        <v>13</v>
      </c>
      <c r="G238" s="4"/>
      <c r="H238" s="2">
        <v>519</v>
      </c>
      <c r="I238" s="3">
        <v>616</v>
      </c>
      <c r="J238" s="3">
        <v>508</v>
      </c>
      <c r="K238" s="144">
        <v>0</v>
      </c>
      <c r="L238" s="4"/>
      <c r="M238" s="2">
        <v>144</v>
      </c>
      <c r="N238" s="3">
        <v>241</v>
      </c>
      <c r="O238" s="3">
        <v>257</v>
      </c>
      <c r="P238" s="144">
        <v>252</v>
      </c>
      <c r="Q238" s="4"/>
      <c r="R238" s="2">
        <v>2</v>
      </c>
      <c r="S238" s="3">
        <v>5</v>
      </c>
      <c r="T238" s="3">
        <v>3</v>
      </c>
      <c r="U238" s="3">
        <v>4</v>
      </c>
      <c r="V238" s="3">
        <v>6</v>
      </c>
      <c r="W238" s="144">
        <v>4</v>
      </c>
      <c r="X238" s="4"/>
      <c r="Y238" s="5">
        <f>(19.84+17.4+21.42)/3</f>
        <v>19.553333333333331</v>
      </c>
      <c r="Z238" s="49">
        <f>(19.84+21.42)/2</f>
        <v>20.630000000000003</v>
      </c>
      <c r="AA238" s="49">
        <f>(38.47+35.81)/2</f>
        <v>37.14</v>
      </c>
      <c r="AB238" s="153">
        <f>(38.47+35.81)/2</f>
        <v>37.14</v>
      </c>
      <c r="AC238" s="49">
        <f>(38.47+35.81)/2</f>
        <v>37.14</v>
      </c>
      <c r="AD238" s="153">
        <v>38.47</v>
      </c>
      <c r="AE238" s="86"/>
      <c r="AF238" s="19"/>
      <c r="AG238" s="20">
        <f>15238+9903</f>
        <v>25141</v>
      </c>
      <c r="AH238" s="20">
        <f>61172+10651</f>
        <v>71823</v>
      </c>
      <c r="AI238" s="20">
        <f>95832+16152</f>
        <v>111984</v>
      </c>
      <c r="AJ238" s="20">
        <f>80804+16870</f>
        <v>97674</v>
      </c>
      <c r="AK238" s="210">
        <v>99672</v>
      </c>
      <c r="AL238" s="21"/>
      <c r="AM238" s="19"/>
      <c r="AN238" s="20">
        <f>4269+1409</f>
        <v>5678</v>
      </c>
      <c r="AO238" s="20">
        <f>10103+1321</f>
        <v>11424</v>
      </c>
      <c r="AP238" s="20">
        <f>33645+1033</f>
        <v>34678</v>
      </c>
      <c r="AQ238" s="20">
        <f>51879+1306</f>
        <v>53185</v>
      </c>
      <c r="AR238" s="210">
        <v>18844</v>
      </c>
      <c r="AS238" s="21"/>
      <c r="AT238" s="50"/>
      <c r="AU238" s="51">
        <f t="shared" si="103"/>
        <v>0.22584622727815123</v>
      </c>
      <c r="AV238" s="51">
        <f t="shared" si="104"/>
        <v>0.15905768347186836</v>
      </c>
      <c r="AW238" s="51">
        <f t="shared" si="105"/>
        <v>0.3096692384626375</v>
      </c>
      <c r="AX238" s="51">
        <f t="shared" si="106"/>
        <v>0.54451542887564752</v>
      </c>
      <c r="AY238" s="211">
        <f t="shared" si="131"/>
        <v>0.18906011718436472</v>
      </c>
      <c r="AZ238" s="52"/>
      <c r="BA238" s="50" t="s">
        <v>226</v>
      </c>
      <c r="BB238" s="53"/>
      <c r="BC238" s="53"/>
      <c r="BD238" s="53"/>
      <c r="BE238" s="53"/>
      <c r="BF238" s="212"/>
      <c r="BG238" s="54"/>
      <c r="BH238" s="2" t="s">
        <v>226</v>
      </c>
      <c r="BI238" s="55"/>
      <c r="BJ238" s="55">
        <f t="shared" si="95"/>
        <v>-6.6788543806282883</v>
      </c>
      <c r="BK238" s="55">
        <f t="shared" si="96"/>
        <v>15.061155499076914</v>
      </c>
      <c r="BL238" s="55">
        <f t="shared" si="97"/>
        <v>23.484619041301002</v>
      </c>
      <c r="BM238" s="213">
        <f t="shared" si="142"/>
        <v>-35.545531169128282</v>
      </c>
      <c r="BN238" s="56"/>
      <c r="BO238" s="50">
        <f t="shared" si="148"/>
        <v>2.0833333333333332E-2</v>
      </c>
      <c r="BP238" s="51">
        <f t="shared" si="149"/>
        <v>1.6597510373443983E-2</v>
      </c>
      <c r="BQ238" s="51">
        <f t="shared" si="150"/>
        <v>2.3346303501945526E-2</v>
      </c>
      <c r="BR238" s="211">
        <f>W238/P238</f>
        <v>1.5873015873015872E-2</v>
      </c>
      <c r="BS238" s="211"/>
      <c r="BT238" s="57"/>
      <c r="BU238" s="57"/>
    </row>
    <row r="239" spans="1:73" s="14" customFormat="1" x14ac:dyDescent="0.25">
      <c r="A239" s="13"/>
      <c r="B239" s="59" t="s">
        <v>111</v>
      </c>
      <c r="C239" s="60">
        <v>4</v>
      </c>
      <c r="D239" s="61">
        <v>4</v>
      </c>
      <c r="E239" s="61">
        <v>4</v>
      </c>
      <c r="F239" s="145"/>
      <c r="G239" s="62"/>
      <c r="H239" s="60">
        <v>74</v>
      </c>
      <c r="I239" s="61">
        <v>74</v>
      </c>
      <c r="J239" s="61">
        <v>74</v>
      </c>
      <c r="K239" s="145"/>
      <c r="L239" s="62"/>
      <c r="M239" s="60">
        <v>30</v>
      </c>
      <c r="N239" s="61">
        <v>30</v>
      </c>
      <c r="O239" s="61">
        <v>34</v>
      </c>
      <c r="P239" s="145"/>
      <c r="Q239" s="62"/>
      <c r="R239" s="60"/>
      <c r="S239" s="61"/>
      <c r="T239" s="61"/>
      <c r="U239" s="61"/>
      <c r="V239" s="61"/>
      <c r="W239" s="145"/>
      <c r="X239" s="62"/>
      <c r="Y239" s="60" t="s">
        <v>112</v>
      </c>
      <c r="Z239" s="61"/>
      <c r="AA239" s="61" t="s">
        <v>113</v>
      </c>
      <c r="AB239" s="145"/>
      <c r="AC239" s="61" t="s">
        <v>114</v>
      </c>
      <c r="AD239" s="152"/>
      <c r="AE239" s="64"/>
      <c r="AF239" s="270"/>
      <c r="AG239" s="65">
        <v>7819.83</v>
      </c>
      <c r="AH239" s="65">
        <v>9519.01</v>
      </c>
      <c r="AI239" s="65">
        <v>11598.16</v>
      </c>
      <c r="AJ239" s="65">
        <v>10970.99</v>
      </c>
      <c r="AK239" s="196"/>
      <c r="AL239" s="66"/>
      <c r="AM239" s="270"/>
      <c r="AN239" s="65">
        <v>608.64</v>
      </c>
      <c r="AO239" s="65">
        <v>1117.72</v>
      </c>
      <c r="AP239" s="65">
        <v>2416.1799999999998</v>
      </c>
      <c r="AQ239" s="65">
        <v>4260.3599999999997</v>
      </c>
      <c r="AR239" s="196"/>
      <c r="AS239" s="66"/>
      <c r="AT239" s="276"/>
      <c r="AU239" s="67">
        <f t="shared" si="103"/>
        <v>7.7832894065472016E-2</v>
      </c>
      <c r="AV239" s="67">
        <f t="shared" si="104"/>
        <v>0.11741977369495357</v>
      </c>
      <c r="AW239" s="67">
        <f t="shared" si="105"/>
        <v>0.20832442387413175</v>
      </c>
      <c r="AX239" s="67">
        <f t="shared" si="106"/>
        <v>0.38832958557067321</v>
      </c>
      <c r="AY239" s="190"/>
      <c r="AZ239" s="68"/>
      <c r="BA239" s="276" t="s">
        <v>226</v>
      </c>
      <c r="BB239" s="69"/>
      <c r="BC239" s="69"/>
      <c r="BD239" s="69"/>
      <c r="BE239" s="69"/>
      <c r="BF239" s="199"/>
      <c r="BG239" s="70"/>
      <c r="BH239" s="60" t="s">
        <v>226</v>
      </c>
      <c r="BI239" s="71"/>
      <c r="BJ239" s="71">
        <f t="shared" si="95"/>
        <v>3.9586879629481557</v>
      </c>
      <c r="BK239" s="71">
        <f t="shared" si="96"/>
        <v>9.0904650179178184</v>
      </c>
      <c r="BL239" s="71">
        <f t="shared" si="97"/>
        <v>18.000516169654148</v>
      </c>
      <c r="BM239" s="200"/>
      <c r="BN239" s="72"/>
      <c r="BO239" s="276">
        <f t="shared" si="148"/>
        <v>0</v>
      </c>
      <c r="BP239" s="67">
        <f t="shared" si="149"/>
        <v>0</v>
      </c>
      <c r="BQ239" s="67">
        <f t="shared" si="150"/>
        <v>0</v>
      </c>
      <c r="BR239" s="190"/>
      <c r="BS239" s="190"/>
      <c r="BT239" s="73"/>
      <c r="BU239" s="73"/>
    </row>
    <row r="240" spans="1:73" s="11" customFormat="1" x14ac:dyDescent="0.25">
      <c r="A240" s="10"/>
      <c r="B240" s="33" t="s">
        <v>284</v>
      </c>
      <c r="C240" s="34">
        <v>2</v>
      </c>
      <c r="D240" s="35">
        <v>2</v>
      </c>
      <c r="E240" s="35">
        <v>2</v>
      </c>
      <c r="F240" s="93"/>
      <c r="G240" s="36"/>
      <c r="H240" s="34">
        <v>15</v>
      </c>
      <c r="I240" s="35">
        <v>15</v>
      </c>
      <c r="J240" s="35">
        <v>15</v>
      </c>
      <c r="K240" s="93"/>
      <c r="L240" s="36"/>
      <c r="M240" s="34">
        <v>7</v>
      </c>
      <c r="N240" s="35">
        <v>6</v>
      </c>
      <c r="O240" s="35">
        <v>6</v>
      </c>
      <c r="P240" s="93"/>
      <c r="Q240" s="36"/>
      <c r="R240" s="34">
        <v>1</v>
      </c>
      <c r="S240" s="35">
        <v>0</v>
      </c>
      <c r="T240" s="35">
        <v>0</v>
      </c>
      <c r="U240" s="35">
        <v>0</v>
      </c>
      <c r="V240" s="35">
        <v>0</v>
      </c>
      <c r="W240" s="93"/>
      <c r="X240" s="36"/>
      <c r="Y240" s="34"/>
      <c r="Z240" s="35"/>
      <c r="AA240" s="35"/>
      <c r="AB240" s="93"/>
      <c r="AC240" s="35"/>
      <c r="AD240" s="154"/>
      <c r="AE240" s="90"/>
      <c r="AF240" s="38">
        <v>2886</v>
      </c>
      <c r="AG240" s="39">
        <v>2990</v>
      </c>
      <c r="AH240" s="39">
        <v>2930</v>
      </c>
      <c r="AI240" s="39">
        <v>3015</v>
      </c>
      <c r="AJ240" s="39">
        <v>2812</v>
      </c>
      <c r="AK240" s="182"/>
      <c r="AL240" s="40"/>
      <c r="AM240" s="38">
        <v>2460</v>
      </c>
      <c r="AN240" s="39">
        <v>980</v>
      </c>
      <c r="AO240" s="39">
        <v>1993</v>
      </c>
      <c r="AP240" s="39">
        <v>1652</v>
      </c>
      <c r="AQ240" s="39">
        <v>1660</v>
      </c>
      <c r="AR240" s="182"/>
      <c r="AS240" s="40"/>
      <c r="AT240" s="41">
        <f t="shared" si="102"/>
        <v>0.85239085239085244</v>
      </c>
      <c r="AU240" s="42">
        <f t="shared" si="103"/>
        <v>0.32775919732441472</v>
      </c>
      <c r="AV240" s="42">
        <f t="shared" si="104"/>
        <v>0.68020477815699654</v>
      </c>
      <c r="AW240" s="42">
        <f t="shared" si="105"/>
        <v>0.54792703150912103</v>
      </c>
      <c r="AX240" s="42">
        <f t="shared" si="106"/>
        <v>0.59032716927453766</v>
      </c>
      <c r="AY240" s="183"/>
      <c r="AZ240" s="43"/>
      <c r="BA240" s="41" t="s">
        <v>226</v>
      </c>
      <c r="BB240" s="44">
        <f t="shared" ref="BB240:BC247" si="151">(AU240-$AT240)*100</f>
        <v>-52.463165506643769</v>
      </c>
      <c r="BC240" s="44">
        <f t="shared" si="151"/>
        <v>-17.218607423385592</v>
      </c>
      <c r="BD240" s="44">
        <f t="shared" si="99"/>
        <v>-30.446382088173142</v>
      </c>
      <c r="BE240" s="44">
        <f t="shared" si="100"/>
        <v>-26.206368311631479</v>
      </c>
      <c r="BF240" s="184"/>
      <c r="BG240" s="45"/>
      <c r="BH240" s="34" t="s">
        <v>226</v>
      </c>
      <c r="BI240" s="46">
        <f t="shared" si="94"/>
        <v>-52.463165506643769</v>
      </c>
      <c r="BJ240" s="46">
        <f t="shared" si="95"/>
        <v>35.244558083258184</v>
      </c>
      <c r="BK240" s="46">
        <f t="shared" si="96"/>
        <v>-13.22777466478755</v>
      </c>
      <c r="BL240" s="46">
        <f t="shared" si="97"/>
        <v>4.2400137765416623</v>
      </c>
      <c r="BM240" s="185"/>
      <c r="BN240" s="47"/>
      <c r="BO240" s="41">
        <f t="shared" si="148"/>
        <v>0</v>
      </c>
      <c r="BP240" s="42">
        <f t="shared" si="149"/>
        <v>0</v>
      </c>
      <c r="BQ240" s="42">
        <f t="shared" si="150"/>
        <v>0</v>
      </c>
      <c r="BR240" s="183"/>
      <c r="BS240" s="183"/>
      <c r="BT240" s="48"/>
      <c r="BU240" s="48"/>
    </row>
    <row r="241" spans="1:73" s="11" customFormat="1" x14ac:dyDescent="0.25">
      <c r="A241" s="10"/>
      <c r="B241" s="33" t="s">
        <v>285</v>
      </c>
      <c r="C241" s="34">
        <v>1</v>
      </c>
      <c r="D241" s="35">
        <v>1</v>
      </c>
      <c r="E241" s="35">
        <v>1</v>
      </c>
      <c r="F241" s="93"/>
      <c r="G241" s="36"/>
      <c r="H241" s="34">
        <v>0</v>
      </c>
      <c r="I241" s="35">
        <v>0</v>
      </c>
      <c r="J241" s="35">
        <v>0</v>
      </c>
      <c r="K241" s="93"/>
      <c r="L241" s="36"/>
      <c r="M241" s="34">
        <v>41</v>
      </c>
      <c r="N241" s="35">
        <v>41</v>
      </c>
      <c r="O241" s="35">
        <v>41</v>
      </c>
      <c r="P241" s="93"/>
      <c r="Q241" s="36"/>
      <c r="R241" s="34">
        <v>0</v>
      </c>
      <c r="S241" s="35">
        <v>0</v>
      </c>
      <c r="T241" s="35">
        <v>0</v>
      </c>
      <c r="U241" s="35">
        <v>0</v>
      </c>
      <c r="V241" s="35">
        <v>0</v>
      </c>
      <c r="W241" s="93"/>
      <c r="X241" s="36"/>
      <c r="Y241" s="34" t="s">
        <v>149</v>
      </c>
      <c r="Z241" s="35" t="s">
        <v>93</v>
      </c>
      <c r="AA241" s="35" t="s">
        <v>203</v>
      </c>
      <c r="AB241" s="93" t="s">
        <v>204</v>
      </c>
      <c r="AC241" s="35" t="s">
        <v>203</v>
      </c>
      <c r="AD241" s="154"/>
      <c r="AE241" s="90"/>
      <c r="AF241" s="38">
        <v>2336</v>
      </c>
      <c r="AG241" s="39">
        <v>3673</v>
      </c>
      <c r="AH241" s="39">
        <v>5543</v>
      </c>
      <c r="AI241" s="39">
        <v>5252</v>
      </c>
      <c r="AJ241" s="39">
        <v>3483</v>
      </c>
      <c r="AK241" s="182"/>
      <c r="AL241" s="40"/>
      <c r="AM241" s="38">
        <v>108</v>
      </c>
      <c r="AN241" s="39">
        <v>309</v>
      </c>
      <c r="AO241" s="39">
        <v>606</v>
      </c>
      <c r="AP241" s="39">
        <v>1456</v>
      </c>
      <c r="AQ241" s="39">
        <v>642</v>
      </c>
      <c r="AR241" s="182"/>
      <c r="AS241" s="40"/>
      <c r="AT241" s="41">
        <f t="shared" si="102"/>
        <v>4.6232876712328765E-2</v>
      </c>
      <c r="AU241" s="42">
        <f t="shared" si="103"/>
        <v>8.4127416280969231E-2</v>
      </c>
      <c r="AV241" s="42">
        <f t="shared" si="104"/>
        <v>0.10932707919898972</v>
      </c>
      <c r="AW241" s="42">
        <f t="shared" si="105"/>
        <v>0.27722772277227725</v>
      </c>
      <c r="AX241" s="42">
        <f t="shared" si="106"/>
        <v>0.1843238587424634</v>
      </c>
      <c r="AY241" s="183"/>
      <c r="AZ241" s="43"/>
      <c r="BA241" s="41" t="s">
        <v>226</v>
      </c>
      <c r="BB241" s="44">
        <f t="shared" si="151"/>
        <v>3.7894539568640466</v>
      </c>
      <c r="BC241" s="44">
        <f t="shared" si="151"/>
        <v>6.3094202486660951</v>
      </c>
      <c r="BD241" s="44">
        <f t="shared" si="99"/>
        <v>23.099484605994849</v>
      </c>
      <c r="BE241" s="44">
        <f t="shared" si="100"/>
        <v>13.809098203013464</v>
      </c>
      <c r="BF241" s="184"/>
      <c r="BG241" s="45"/>
      <c r="BH241" s="34" t="s">
        <v>226</v>
      </c>
      <c r="BI241" s="46">
        <f t="shared" si="94"/>
        <v>3.7894539568640466</v>
      </c>
      <c r="BJ241" s="46">
        <f t="shared" si="95"/>
        <v>2.5199662918020489</v>
      </c>
      <c r="BK241" s="46">
        <f t="shared" si="96"/>
        <v>16.790064357328756</v>
      </c>
      <c r="BL241" s="46">
        <f t="shared" si="97"/>
        <v>-9.290386402981385</v>
      </c>
      <c r="BM241" s="185"/>
      <c r="BN241" s="47"/>
      <c r="BO241" s="41">
        <f t="shared" si="148"/>
        <v>0</v>
      </c>
      <c r="BP241" s="42">
        <f t="shared" si="149"/>
        <v>0</v>
      </c>
      <c r="BQ241" s="42">
        <f t="shared" si="150"/>
        <v>0</v>
      </c>
      <c r="BR241" s="183"/>
      <c r="BS241" s="183"/>
      <c r="BT241" s="48"/>
      <c r="BU241" s="48"/>
    </row>
    <row r="242" spans="1:73" s="11" customFormat="1" x14ac:dyDescent="0.25">
      <c r="A242" s="10"/>
      <c r="B242" s="33" t="s">
        <v>286</v>
      </c>
      <c r="C242" s="34">
        <v>2</v>
      </c>
      <c r="D242" s="35">
        <v>2</v>
      </c>
      <c r="E242" s="35">
        <v>2</v>
      </c>
      <c r="F242" s="93"/>
      <c r="G242" s="36"/>
      <c r="H242" s="34">
        <v>16</v>
      </c>
      <c r="I242" s="35">
        <v>13</v>
      </c>
      <c r="J242" s="35">
        <v>12</v>
      </c>
      <c r="K242" s="93"/>
      <c r="L242" s="36"/>
      <c r="M242" s="34">
        <v>11</v>
      </c>
      <c r="N242" s="35">
        <v>9</v>
      </c>
      <c r="O242" s="35">
        <v>10</v>
      </c>
      <c r="P242" s="93"/>
      <c r="Q242" s="36"/>
      <c r="R242" s="34">
        <v>0</v>
      </c>
      <c r="S242" s="35">
        <v>0</v>
      </c>
      <c r="T242" s="35">
        <v>0</v>
      </c>
      <c r="U242" s="35">
        <v>0</v>
      </c>
      <c r="V242" s="35">
        <v>0</v>
      </c>
      <c r="W242" s="93"/>
      <c r="X242" s="36"/>
      <c r="Y242" s="34" t="s">
        <v>205</v>
      </c>
      <c r="Z242" s="35" t="s">
        <v>205</v>
      </c>
      <c r="AA242" s="35" t="s">
        <v>206</v>
      </c>
      <c r="AB242" s="93" t="s">
        <v>206</v>
      </c>
      <c r="AC242" s="35" t="s">
        <v>92</v>
      </c>
      <c r="AD242" s="154"/>
      <c r="AE242" s="90"/>
      <c r="AF242" s="38">
        <v>701</v>
      </c>
      <c r="AG242" s="39">
        <v>701</v>
      </c>
      <c r="AH242" s="39">
        <v>1023</v>
      </c>
      <c r="AI242" s="39">
        <v>1164</v>
      </c>
      <c r="AJ242" s="39">
        <v>1188</v>
      </c>
      <c r="AK242" s="182"/>
      <c r="AL242" s="40"/>
      <c r="AM242" s="38">
        <v>53</v>
      </c>
      <c r="AN242" s="39">
        <v>97</v>
      </c>
      <c r="AO242" s="39">
        <v>121</v>
      </c>
      <c r="AP242" s="39">
        <v>106</v>
      </c>
      <c r="AQ242" s="39">
        <v>143</v>
      </c>
      <c r="AR242" s="182"/>
      <c r="AS242" s="40"/>
      <c r="AT242" s="41">
        <f t="shared" si="102"/>
        <v>7.5606276747503573E-2</v>
      </c>
      <c r="AU242" s="42">
        <f t="shared" si="103"/>
        <v>0.13837375178316691</v>
      </c>
      <c r="AV242" s="42">
        <f t="shared" si="104"/>
        <v>0.11827956989247312</v>
      </c>
      <c r="AW242" s="42">
        <f t="shared" si="105"/>
        <v>9.1065292096219927E-2</v>
      </c>
      <c r="AX242" s="42">
        <f t="shared" si="106"/>
        <v>0.12037037037037036</v>
      </c>
      <c r="AY242" s="183"/>
      <c r="AZ242" s="43"/>
      <c r="BA242" s="41" t="s">
        <v>226</v>
      </c>
      <c r="BB242" s="44">
        <f t="shared" si="151"/>
        <v>6.2767475035663338</v>
      </c>
      <c r="BC242" s="44">
        <f t="shared" si="151"/>
        <v>4.2673293144969549</v>
      </c>
      <c r="BD242" s="44">
        <f t="shared" si="99"/>
        <v>1.5459015348716354</v>
      </c>
      <c r="BE242" s="44">
        <f t="shared" si="100"/>
        <v>4.4764093622866792</v>
      </c>
      <c r="BF242" s="184"/>
      <c r="BG242" s="45"/>
      <c r="BH242" s="34" t="s">
        <v>226</v>
      </c>
      <c r="BI242" s="46">
        <f t="shared" si="94"/>
        <v>6.2767475035663338</v>
      </c>
      <c r="BJ242" s="46">
        <f t="shared" si="95"/>
        <v>-2.0094181890693785</v>
      </c>
      <c r="BK242" s="46">
        <f t="shared" si="96"/>
        <v>-2.7214277796253197</v>
      </c>
      <c r="BL242" s="46">
        <f t="shared" si="97"/>
        <v>2.9305078274150436</v>
      </c>
      <c r="BM242" s="185"/>
      <c r="BN242" s="47"/>
      <c r="BO242" s="41">
        <f t="shared" si="148"/>
        <v>0</v>
      </c>
      <c r="BP242" s="42">
        <f t="shared" si="149"/>
        <v>0</v>
      </c>
      <c r="BQ242" s="42">
        <f t="shared" si="150"/>
        <v>0</v>
      </c>
      <c r="BR242" s="183"/>
      <c r="BS242" s="183"/>
      <c r="BT242" s="48"/>
      <c r="BU242" s="48"/>
    </row>
    <row r="243" spans="1:73" s="9" customFormat="1" x14ac:dyDescent="0.25">
      <c r="A243" s="12">
        <v>106</v>
      </c>
      <c r="B243" s="17" t="s">
        <v>62</v>
      </c>
      <c r="C243" s="2">
        <v>18</v>
      </c>
      <c r="D243" s="3">
        <v>18</v>
      </c>
      <c r="E243" s="3">
        <v>18</v>
      </c>
      <c r="F243" s="144"/>
      <c r="G243" s="4">
        <v>0</v>
      </c>
      <c r="H243" s="2">
        <v>822</v>
      </c>
      <c r="I243" s="3">
        <v>815</v>
      </c>
      <c r="J243" s="3">
        <v>827</v>
      </c>
      <c r="K243" s="144"/>
      <c r="L243" s="4">
        <v>871</v>
      </c>
      <c r="M243" s="2">
        <v>256</v>
      </c>
      <c r="N243" s="3">
        <v>297</v>
      </c>
      <c r="O243" s="3">
        <v>320</v>
      </c>
      <c r="P243" s="144"/>
      <c r="Q243" s="4">
        <v>345</v>
      </c>
      <c r="R243" s="2">
        <v>9</v>
      </c>
      <c r="S243" s="3">
        <v>13</v>
      </c>
      <c r="T243" s="3">
        <v>11</v>
      </c>
      <c r="U243" s="3">
        <v>0</v>
      </c>
      <c r="V243" s="3">
        <v>15</v>
      </c>
      <c r="W243" s="144"/>
      <c r="X243" s="4">
        <v>1</v>
      </c>
      <c r="Y243" s="2">
        <v>16.73</v>
      </c>
      <c r="Z243" s="3">
        <v>16.73</v>
      </c>
      <c r="AA243" s="3">
        <v>22.43</v>
      </c>
      <c r="AB243" s="144">
        <v>28.62</v>
      </c>
      <c r="AC243" s="3">
        <v>28.62</v>
      </c>
      <c r="AD243" s="153"/>
      <c r="AE243" s="3">
        <v>28.62</v>
      </c>
      <c r="AF243" s="19">
        <v>54808</v>
      </c>
      <c r="AG243" s="20">
        <v>55604</v>
      </c>
      <c r="AH243" s="20">
        <v>66893</v>
      </c>
      <c r="AI243" s="20">
        <v>95458</v>
      </c>
      <c r="AJ243" s="20">
        <v>109099</v>
      </c>
      <c r="AK243" s="210"/>
      <c r="AL243" s="21">
        <v>114733</v>
      </c>
      <c r="AM243" s="19">
        <v>24473</v>
      </c>
      <c r="AN243" s="20">
        <v>18307</v>
      </c>
      <c r="AO243" s="20">
        <v>20853</v>
      </c>
      <c r="AP243" s="20">
        <v>34763</v>
      </c>
      <c r="AQ243" s="20">
        <v>42205</v>
      </c>
      <c r="AR243" s="210"/>
      <c r="AS243" s="21">
        <v>15244</v>
      </c>
      <c r="AT243" s="50">
        <f t="shared" si="102"/>
        <v>0.4465224054882499</v>
      </c>
      <c r="AU243" s="51">
        <f t="shared" si="103"/>
        <v>0.32923890367599451</v>
      </c>
      <c r="AV243" s="51">
        <f t="shared" si="104"/>
        <v>0.3117366540594681</v>
      </c>
      <c r="AW243" s="51">
        <f t="shared" si="105"/>
        <v>0.36417063001529471</v>
      </c>
      <c r="AX243" s="51">
        <f t="shared" si="106"/>
        <v>0.38685047525641847</v>
      </c>
      <c r="AY243" s="211"/>
      <c r="AZ243" s="52">
        <f t="shared" si="137"/>
        <v>0.13286499960778503</v>
      </c>
      <c r="BA243" s="50" t="s">
        <v>226</v>
      </c>
      <c r="BB243" s="53">
        <f t="shared" si="151"/>
        <v>-11.728350181225538</v>
      </c>
      <c r="BC243" s="53">
        <f t="shared" si="151"/>
        <v>-13.47857514287818</v>
      </c>
      <c r="BD243" s="53">
        <f t="shared" si="99"/>
        <v>-8.2351775472955193</v>
      </c>
      <c r="BE243" s="53">
        <f t="shared" si="100"/>
        <v>-5.9671930231831425</v>
      </c>
      <c r="BF243" s="212"/>
      <c r="BG243" s="54">
        <f t="shared" si="141"/>
        <v>-31.365740588046485</v>
      </c>
      <c r="BH243" s="2" t="s">
        <v>226</v>
      </c>
      <c r="BI243" s="55">
        <f t="shared" si="94"/>
        <v>-11.728350181225538</v>
      </c>
      <c r="BJ243" s="55">
        <f t="shared" si="95"/>
        <v>-1.7502249616526411</v>
      </c>
      <c r="BK243" s="55">
        <f t="shared" si="96"/>
        <v>5.2433975955826604</v>
      </c>
      <c r="BL243" s="55">
        <f t="shared" si="97"/>
        <v>2.2679845241123764</v>
      </c>
      <c r="BM243" s="213"/>
      <c r="BN243" s="56"/>
      <c r="BO243" s="50">
        <f t="shared" si="148"/>
        <v>4.296875E-2</v>
      </c>
      <c r="BP243" s="51">
        <f t="shared" si="149"/>
        <v>0</v>
      </c>
      <c r="BQ243" s="51">
        <f t="shared" si="150"/>
        <v>4.6875E-2</v>
      </c>
      <c r="BR243" s="211"/>
      <c r="BS243" s="211">
        <f>X243/Q243</f>
        <v>2.8985507246376812E-3</v>
      </c>
      <c r="BT243" s="57"/>
      <c r="BU243" s="57"/>
    </row>
    <row r="244" spans="1:73" s="14" customFormat="1" x14ac:dyDescent="0.25">
      <c r="A244" s="13">
        <v>107</v>
      </c>
      <c r="B244" s="59" t="s">
        <v>194</v>
      </c>
      <c r="C244" s="60">
        <v>0</v>
      </c>
      <c r="D244" s="61">
        <v>0</v>
      </c>
      <c r="E244" s="61">
        <v>0</v>
      </c>
      <c r="F244" s="145">
        <v>5</v>
      </c>
      <c r="G244" s="62">
        <v>1</v>
      </c>
      <c r="H244" s="60">
        <v>96</v>
      </c>
      <c r="I244" s="61">
        <v>96</v>
      </c>
      <c r="J244" s="61">
        <v>96</v>
      </c>
      <c r="K244" s="145">
        <v>188</v>
      </c>
      <c r="L244" s="62">
        <v>9</v>
      </c>
      <c r="M244" s="60">
        <v>31</v>
      </c>
      <c r="N244" s="61">
        <v>24</v>
      </c>
      <c r="O244" s="61">
        <v>29</v>
      </c>
      <c r="P244" s="145">
        <v>51</v>
      </c>
      <c r="Q244" s="62">
        <v>2</v>
      </c>
      <c r="R244" s="60">
        <v>0</v>
      </c>
      <c r="S244" s="61">
        <v>0</v>
      </c>
      <c r="T244" s="61">
        <v>0</v>
      </c>
      <c r="U244" s="61">
        <v>0</v>
      </c>
      <c r="V244" s="61">
        <v>1</v>
      </c>
      <c r="W244" s="145">
        <v>4</v>
      </c>
      <c r="X244" s="62">
        <v>0</v>
      </c>
      <c r="Y244" s="60" t="s">
        <v>141</v>
      </c>
      <c r="Z244" s="61" t="s">
        <v>141</v>
      </c>
      <c r="AA244" s="61" t="s">
        <v>195</v>
      </c>
      <c r="AB244" s="145" t="s">
        <v>195</v>
      </c>
      <c r="AC244" s="61" t="s">
        <v>195</v>
      </c>
      <c r="AD244" s="145" t="s">
        <v>195</v>
      </c>
      <c r="AE244" s="62" t="s">
        <v>134</v>
      </c>
      <c r="AF244" s="270">
        <v>15753</v>
      </c>
      <c r="AG244" s="65">
        <v>23102</v>
      </c>
      <c r="AH244" s="65">
        <v>26829</v>
      </c>
      <c r="AI244" s="65">
        <v>28165</v>
      </c>
      <c r="AJ244" s="65">
        <v>26639</v>
      </c>
      <c r="AK244" s="196">
        <v>27612</v>
      </c>
      <c r="AL244" s="66">
        <v>1986</v>
      </c>
      <c r="AM244" s="270">
        <v>1521</v>
      </c>
      <c r="AN244" s="65">
        <v>3395</v>
      </c>
      <c r="AO244" s="65">
        <v>3532</v>
      </c>
      <c r="AP244" s="65">
        <v>3301</v>
      </c>
      <c r="AQ244" s="65">
        <v>2002</v>
      </c>
      <c r="AR244" s="196">
        <v>8283</v>
      </c>
      <c r="AS244" s="66">
        <v>121</v>
      </c>
      <c r="AT244" s="276">
        <f t="shared" si="102"/>
        <v>9.6553037516663498E-2</v>
      </c>
      <c r="AU244" s="67">
        <f t="shared" si="103"/>
        <v>0.14695697342221453</v>
      </c>
      <c r="AV244" s="67">
        <f t="shared" si="104"/>
        <v>0.13164858921316486</v>
      </c>
      <c r="AW244" s="67">
        <f t="shared" si="105"/>
        <v>0.11720220131368721</v>
      </c>
      <c r="AX244" s="67">
        <f t="shared" si="106"/>
        <v>7.5152971207627914E-2</v>
      </c>
      <c r="AY244" s="190">
        <f t="shared" si="131"/>
        <v>0.29997827031725338</v>
      </c>
      <c r="AZ244" s="68">
        <f t="shared" si="137"/>
        <v>6.0926485397784488E-2</v>
      </c>
      <c r="BA244" s="276" t="s">
        <v>226</v>
      </c>
      <c r="BB244" s="69">
        <f t="shared" si="151"/>
        <v>5.0403935905551034</v>
      </c>
      <c r="BC244" s="69">
        <f t="shared" si="151"/>
        <v>3.5095551696501359</v>
      </c>
      <c r="BD244" s="69">
        <f t="shared" si="99"/>
        <v>2.0649163797023711</v>
      </c>
      <c r="BE244" s="69">
        <f t="shared" si="100"/>
        <v>-2.1400066309035584</v>
      </c>
      <c r="BF244" s="199">
        <f t="shared" si="140"/>
        <v>20.342523280058987</v>
      </c>
      <c r="BG244" s="70">
        <f t="shared" si="141"/>
        <v>-3.5626552118879009</v>
      </c>
      <c r="BH244" s="60" t="s">
        <v>226</v>
      </c>
      <c r="BI244" s="71">
        <f t="shared" ref="BI244:BI249" si="152">(AU244-AT244)*100</f>
        <v>5.0403935905551034</v>
      </c>
      <c r="BJ244" s="71">
        <f t="shared" ref="BJ244:BJ249" si="153">(AV244-AU244)*100</f>
        <v>-1.5308384209049675</v>
      </c>
      <c r="BK244" s="71">
        <f t="shared" ref="BK244:BK249" si="154">(AW244-AV244)*100</f>
        <v>-1.4446387899477651</v>
      </c>
      <c r="BL244" s="71">
        <f t="shared" ref="BL244:BL249" si="155">(AX244-AW244)*100</f>
        <v>-4.2049230106059294</v>
      </c>
      <c r="BM244" s="200">
        <f t="shared" si="142"/>
        <v>22.482529910962544</v>
      </c>
      <c r="BN244" s="72">
        <f t="shared" si="143"/>
        <v>-23.905178491946888</v>
      </c>
      <c r="BO244" s="276">
        <f t="shared" si="148"/>
        <v>0</v>
      </c>
      <c r="BP244" s="67">
        <f t="shared" si="149"/>
        <v>0</v>
      </c>
      <c r="BQ244" s="67">
        <f t="shared" si="150"/>
        <v>3.4482758620689655E-2</v>
      </c>
      <c r="BR244" s="190">
        <f>W244/P244</f>
        <v>7.8431372549019607E-2</v>
      </c>
      <c r="BS244" s="190">
        <f>X244/Q244</f>
        <v>0</v>
      </c>
      <c r="BT244" s="73"/>
      <c r="BU244" s="73">
        <f>(Q244-P244)/P244</f>
        <v>-0.96078431372549022</v>
      </c>
    </row>
    <row r="245" spans="1:73" s="11" customFormat="1" x14ac:dyDescent="0.25">
      <c r="A245" s="10"/>
      <c r="B245" s="33" t="s">
        <v>199</v>
      </c>
      <c r="C245" s="34">
        <v>2</v>
      </c>
      <c r="D245" s="35">
        <v>1</v>
      </c>
      <c r="E245" s="35">
        <v>1</v>
      </c>
      <c r="F245" s="93"/>
      <c r="G245" s="36">
        <v>1</v>
      </c>
      <c r="H245" s="34">
        <v>39</v>
      </c>
      <c r="I245" s="35">
        <v>33</v>
      </c>
      <c r="J245" s="35">
        <v>33</v>
      </c>
      <c r="K245" s="93"/>
      <c r="L245" s="36">
        <v>22</v>
      </c>
      <c r="M245" s="34">
        <v>25</v>
      </c>
      <c r="N245" s="35">
        <v>18</v>
      </c>
      <c r="O245" s="35">
        <v>18</v>
      </c>
      <c r="P245" s="93"/>
      <c r="Q245" s="36">
        <v>34</v>
      </c>
      <c r="R245" s="34">
        <v>0</v>
      </c>
      <c r="S245" s="35">
        <v>0</v>
      </c>
      <c r="T245" s="35">
        <v>0</v>
      </c>
      <c r="U245" s="35">
        <v>0</v>
      </c>
      <c r="V245" s="35">
        <v>0</v>
      </c>
      <c r="W245" s="93"/>
      <c r="X245" s="36">
        <v>0</v>
      </c>
      <c r="Y245" s="34" t="s">
        <v>196</v>
      </c>
      <c r="Z245" s="35" t="s">
        <v>93</v>
      </c>
      <c r="AA245" s="35" t="s">
        <v>93</v>
      </c>
      <c r="AB245" s="93" t="s">
        <v>147</v>
      </c>
      <c r="AC245" s="35" t="s">
        <v>197</v>
      </c>
      <c r="AD245" s="154"/>
      <c r="AE245" s="90" t="s">
        <v>91</v>
      </c>
      <c r="AF245" s="38">
        <v>4122</v>
      </c>
      <c r="AG245" s="39">
        <v>4200</v>
      </c>
      <c r="AH245" s="39">
        <v>4791</v>
      </c>
      <c r="AI245" s="39">
        <v>4698</v>
      </c>
      <c r="AJ245" s="39">
        <v>5164</v>
      </c>
      <c r="AK245" s="182"/>
      <c r="AL245" s="40">
        <v>2964</v>
      </c>
      <c r="AM245" s="38">
        <v>268</v>
      </c>
      <c r="AN245" s="39">
        <v>100</v>
      </c>
      <c r="AO245" s="39">
        <v>415</v>
      </c>
      <c r="AP245" s="39">
        <v>319</v>
      </c>
      <c r="AQ245" s="39">
        <v>307</v>
      </c>
      <c r="AR245" s="182"/>
      <c r="AS245" s="40">
        <v>671</v>
      </c>
      <c r="AT245" s="41">
        <f t="shared" si="102"/>
        <v>6.5016982047549729E-2</v>
      </c>
      <c r="AU245" s="42">
        <f t="shared" si="103"/>
        <v>2.3809523809523808E-2</v>
      </c>
      <c r="AV245" s="42">
        <f t="shared" si="104"/>
        <v>8.6620747234397832E-2</v>
      </c>
      <c r="AW245" s="42">
        <f t="shared" si="105"/>
        <v>6.7901234567901231E-2</v>
      </c>
      <c r="AX245" s="42">
        <f t="shared" si="106"/>
        <v>5.9450038729666928E-2</v>
      </c>
      <c r="AY245" s="183"/>
      <c r="AZ245" s="43">
        <f t="shared" si="137"/>
        <v>0.22638326585695007</v>
      </c>
      <c r="BA245" s="41" t="s">
        <v>226</v>
      </c>
      <c r="BB245" s="44">
        <f t="shared" si="151"/>
        <v>-4.1207458238025918</v>
      </c>
      <c r="BC245" s="44">
        <f t="shared" si="151"/>
        <v>2.1603765186848105</v>
      </c>
      <c r="BD245" s="44">
        <f t="shared" ref="BD245:BE247" si="156">(AW245-$AT245)*100</f>
        <v>0.28842525203515018</v>
      </c>
      <c r="BE245" s="44">
        <f t="shared" si="156"/>
        <v>-0.55669433178828009</v>
      </c>
      <c r="BF245" s="184"/>
      <c r="BG245" s="45">
        <f t="shared" si="141"/>
        <v>16.136628380940031</v>
      </c>
      <c r="BH245" s="34" t="s">
        <v>226</v>
      </c>
      <c r="BI245" s="46">
        <f t="shared" si="152"/>
        <v>-4.1207458238025918</v>
      </c>
      <c r="BJ245" s="46">
        <f t="shared" si="153"/>
        <v>6.2811223424874028</v>
      </c>
      <c r="BK245" s="46">
        <f t="shared" si="154"/>
        <v>-1.8719512666496603</v>
      </c>
      <c r="BL245" s="46">
        <f t="shared" si="155"/>
        <v>-0.84511958382343033</v>
      </c>
      <c r="BM245" s="185"/>
      <c r="BN245" s="47"/>
      <c r="BO245" s="41">
        <f t="shared" si="148"/>
        <v>0</v>
      </c>
      <c r="BP245" s="42">
        <f t="shared" si="149"/>
        <v>0</v>
      </c>
      <c r="BQ245" s="42">
        <f t="shared" si="150"/>
        <v>0</v>
      </c>
      <c r="BR245" s="183"/>
      <c r="BS245" s="183">
        <f>X245/Q245</f>
        <v>0</v>
      </c>
      <c r="BT245" s="48"/>
      <c r="BU245" s="48"/>
    </row>
    <row r="246" spans="1:73" s="11" customFormat="1" x14ac:dyDescent="0.25">
      <c r="A246" s="10"/>
      <c r="B246" s="33" t="s">
        <v>200</v>
      </c>
      <c r="C246" s="34">
        <v>1</v>
      </c>
      <c r="D246" s="35">
        <v>1</v>
      </c>
      <c r="E246" s="35">
        <v>1</v>
      </c>
      <c r="F246" s="93"/>
      <c r="G246" s="36">
        <v>1</v>
      </c>
      <c r="H246" s="34">
        <v>37</v>
      </c>
      <c r="I246" s="35">
        <v>39</v>
      </c>
      <c r="J246" s="35">
        <v>34</v>
      </c>
      <c r="K246" s="93"/>
      <c r="L246" s="36">
        <v>18</v>
      </c>
      <c r="M246" s="34">
        <v>18</v>
      </c>
      <c r="N246" s="35">
        <v>18</v>
      </c>
      <c r="O246" s="35">
        <v>18</v>
      </c>
      <c r="P246" s="93"/>
      <c r="Q246" s="36">
        <v>22</v>
      </c>
      <c r="R246" s="34">
        <v>0</v>
      </c>
      <c r="S246" s="35">
        <v>0</v>
      </c>
      <c r="T246" s="35">
        <v>0</v>
      </c>
      <c r="U246" s="35">
        <v>0</v>
      </c>
      <c r="V246" s="35">
        <v>0</v>
      </c>
      <c r="W246" s="93"/>
      <c r="X246" s="36">
        <v>0</v>
      </c>
      <c r="Y246" s="34" t="s">
        <v>198</v>
      </c>
      <c r="Z246" s="35" t="s">
        <v>91</v>
      </c>
      <c r="AA246" s="35" t="s">
        <v>198</v>
      </c>
      <c r="AB246" s="93" t="s">
        <v>89</v>
      </c>
      <c r="AC246" s="35" t="s">
        <v>171</v>
      </c>
      <c r="AD246" s="154"/>
      <c r="AE246" s="90" t="s">
        <v>127</v>
      </c>
      <c r="AF246" s="38">
        <v>890</v>
      </c>
      <c r="AG246" s="39">
        <v>940</v>
      </c>
      <c r="AH246" s="39">
        <v>789</v>
      </c>
      <c r="AI246" s="39">
        <v>900</v>
      </c>
      <c r="AJ246" s="39">
        <v>1169</v>
      </c>
      <c r="AK246" s="182"/>
      <c r="AL246" s="40">
        <v>4557</v>
      </c>
      <c r="AM246" s="38">
        <v>29</v>
      </c>
      <c r="AN246" s="39">
        <v>41</v>
      </c>
      <c r="AO246" s="39">
        <v>378</v>
      </c>
      <c r="AP246" s="39">
        <v>497</v>
      </c>
      <c r="AQ246" s="39">
        <v>268</v>
      </c>
      <c r="AR246" s="182"/>
      <c r="AS246" s="40">
        <v>298</v>
      </c>
      <c r="AT246" s="41">
        <f t="shared" si="102"/>
        <v>3.2584269662921349E-2</v>
      </c>
      <c r="AU246" s="42">
        <f t="shared" si="103"/>
        <v>4.3617021276595745E-2</v>
      </c>
      <c r="AV246" s="42">
        <f t="shared" si="104"/>
        <v>0.47908745247148288</v>
      </c>
      <c r="AW246" s="42">
        <f t="shared" si="105"/>
        <v>0.55222222222222217</v>
      </c>
      <c r="AX246" s="42">
        <f t="shared" si="106"/>
        <v>0.2292557741659538</v>
      </c>
      <c r="AY246" s="183"/>
      <c r="AZ246" s="43">
        <f t="shared" si="137"/>
        <v>6.5393899495281987E-2</v>
      </c>
      <c r="BA246" s="41" t="s">
        <v>226</v>
      </c>
      <c r="BB246" s="44">
        <f t="shared" si="151"/>
        <v>1.1032751613674396</v>
      </c>
      <c r="BC246" s="44">
        <f t="shared" si="151"/>
        <v>44.650318280856155</v>
      </c>
      <c r="BD246" s="44">
        <f t="shared" si="156"/>
        <v>51.96379525593008</v>
      </c>
      <c r="BE246" s="44">
        <f t="shared" si="156"/>
        <v>19.667150450303243</v>
      </c>
      <c r="BF246" s="184"/>
      <c r="BG246" s="45">
        <f t="shared" si="141"/>
        <v>3.2809629832360638</v>
      </c>
      <c r="BH246" s="34" t="s">
        <v>226</v>
      </c>
      <c r="BI246" s="46">
        <f t="shared" si="152"/>
        <v>1.1032751613674396</v>
      </c>
      <c r="BJ246" s="46">
        <f t="shared" si="153"/>
        <v>43.547043119488713</v>
      </c>
      <c r="BK246" s="46">
        <f t="shared" si="154"/>
        <v>7.3134769750739288</v>
      </c>
      <c r="BL246" s="46">
        <f t="shared" si="155"/>
        <v>-32.29664480562684</v>
      </c>
      <c r="BM246" s="185"/>
      <c r="BN246" s="47"/>
      <c r="BO246" s="41">
        <f t="shared" si="148"/>
        <v>0</v>
      </c>
      <c r="BP246" s="42">
        <f t="shared" si="149"/>
        <v>0</v>
      </c>
      <c r="BQ246" s="42">
        <f t="shared" si="150"/>
        <v>0</v>
      </c>
      <c r="BR246" s="183"/>
      <c r="BS246" s="183">
        <f>X246/Q246</f>
        <v>0</v>
      </c>
      <c r="BT246" s="48"/>
      <c r="BU246" s="48"/>
    </row>
    <row r="247" spans="1:73" s="14" customFormat="1" x14ac:dyDescent="0.25">
      <c r="A247" s="13"/>
      <c r="B247" s="59" t="s">
        <v>201</v>
      </c>
      <c r="C247" s="60">
        <v>4</v>
      </c>
      <c r="D247" s="61">
        <v>4</v>
      </c>
      <c r="E247" s="61">
        <v>4</v>
      </c>
      <c r="F247" s="145">
        <v>0</v>
      </c>
      <c r="G247" s="62">
        <v>5</v>
      </c>
      <c r="H247" s="60">
        <v>300</v>
      </c>
      <c r="I247" s="61">
        <v>324</v>
      </c>
      <c r="J247" s="61">
        <v>328</v>
      </c>
      <c r="K247" s="145">
        <v>234</v>
      </c>
      <c r="L247" s="62">
        <v>278</v>
      </c>
      <c r="M247" s="60">
        <v>243</v>
      </c>
      <c r="N247" s="61">
        <v>285</v>
      </c>
      <c r="O247" s="61">
        <v>289</v>
      </c>
      <c r="P247" s="145">
        <v>223</v>
      </c>
      <c r="Q247" s="62">
        <v>342</v>
      </c>
      <c r="R247" s="60">
        <v>0</v>
      </c>
      <c r="S247" s="61">
        <v>0</v>
      </c>
      <c r="T247" s="61">
        <v>0</v>
      </c>
      <c r="U247" s="61">
        <v>0</v>
      </c>
      <c r="V247" s="61">
        <v>0</v>
      </c>
      <c r="W247" s="145">
        <v>0</v>
      </c>
      <c r="X247" s="62">
        <v>0</v>
      </c>
      <c r="Y247" s="60" t="s">
        <v>127</v>
      </c>
      <c r="Z247" s="61" t="s">
        <v>127</v>
      </c>
      <c r="AA247" s="61" t="s">
        <v>127</v>
      </c>
      <c r="AB247" s="145" t="s">
        <v>127</v>
      </c>
      <c r="AC247" s="61" t="s">
        <v>127</v>
      </c>
      <c r="AD247" s="145" t="s">
        <v>127</v>
      </c>
      <c r="AE247" s="145" t="s">
        <v>127</v>
      </c>
      <c r="AF247" s="270">
        <v>20843</v>
      </c>
      <c r="AG247" s="65">
        <v>21000</v>
      </c>
      <c r="AH247" s="65">
        <v>22007</v>
      </c>
      <c r="AI247" s="65">
        <v>22840</v>
      </c>
      <c r="AJ247" s="65">
        <v>22526</v>
      </c>
      <c r="AK247" s="196">
        <v>31018</v>
      </c>
      <c r="AL247" s="66">
        <v>29103</v>
      </c>
      <c r="AM247" s="270">
        <v>14000</v>
      </c>
      <c r="AN247" s="65">
        <v>15520</v>
      </c>
      <c r="AO247" s="65">
        <v>14800</v>
      </c>
      <c r="AP247" s="65">
        <v>15696</v>
      </c>
      <c r="AQ247" s="65">
        <v>14123</v>
      </c>
      <c r="AR247" s="196">
        <v>24262</v>
      </c>
      <c r="AS247" s="66">
        <v>10562</v>
      </c>
      <c r="AT247" s="276">
        <f t="shared" si="102"/>
        <v>0.67168833661181215</v>
      </c>
      <c r="AU247" s="67">
        <f t="shared" si="103"/>
        <v>0.73904761904761906</v>
      </c>
      <c r="AV247" s="67">
        <f t="shared" si="104"/>
        <v>0.67251329122551917</v>
      </c>
      <c r="AW247" s="67">
        <f t="shared" si="105"/>
        <v>0.68721541155866905</v>
      </c>
      <c r="AX247" s="67">
        <f t="shared" si="106"/>
        <v>0.62696439669714998</v>
      </c>
      <c r="AY247" s="190">
        <f t="shared" si="131"/>
        <v>0.78219098587916691</v>
      </c>
      <c r="AZ247" s="68">
        <f t="shared" si="137"/>
        <v>0.36291791224272413</v>
      </c>
      <c r="BA247" s="276" t="s">
        <v>226</v>
      </c>
      <c r="BB247" s="69">
        <f t="shared" si="151"/>
        <v>6.7359282435806911</v>
      </c>
      <c r="BC247" s="69">
        <f t="shared" si="151"/>
        <v>8.249546137070185E-2</v>
      </c>
      <c r="BD247" s="69">
        <f t="shared" si="156"/>
        <v>1.55270749468569</v>
      </c>
      <c r="BE247" s="69">
        <f t="shared" si="156"/>
        <v>-4.472393991466217</v>
      </c>
      <c r="BF247" s="199">
        <f t="shared" si="140"/>
        <v>11.050264926735476</v>
      </c>
      <c r="BG247" s="70">
        <f t="shared" si="141"/>
        <v>-30.877042436908802</v>
      </c>
      <c r="BH247" s="60" t="s">
        <v>226</v>
      </c>
      <c r="BI247" s="71">
        <f t="shared" si="152"/>
        <v>6.7359282435806911</v>
      </c>
      <c r="BJ247" s="71">
        <f t="shared" si="153"/>
        <v>-6.6534327822099897</v>
      </c>
      <c r="BK247" s="71">
        <f t="shared" si="154"/>
        <v>1.4702120333149882</v>
      </c>
      <c r="BL247" s="71">
        <f t="shared" si="155"/>
        <v>-6.0251014861519074</v>
      </c>
      <c r="BM247" s="200">
        <f t="shared" si="142"/>
        <v>15.522658918201692</v>
      </c>
      <c r="BN247" s="72">
        <f t="shared" si="143"/>
        <v>-41.927307363644282</v>
      </c>
      <c r="BO247" s="276">
        <f t="shared" si="148"/>
        <v>0</v>
      </c>
      <c r="BP247" s="67">
        <f t="shared" si="149"/>
        <v>0</v>
      </c>
      <c r="BQ247" s="67">
        <f t="shared" si="150"/>
        <v>0</v>
      </c>
      <c r="BR247" s="190">
        <f>W247/P247</f>
        <v>0</v>
      </c>
      <c r="BS247" s="190">
        <f>X247/Q247</f>
        <v>0</v>
      </c>
      <c r="BT247" s="73"/>
      <c r="BU247" s="73">
        <f>(Q247-P247)/P247</f>
        <v>0.53363228699551568</v>
      </c>
    </row>
    <row r="248" spans="1:73" s="11" customFormat="1" x14ac:dyDescent="0.25">
      <c r="A248" s="10"/>
      <c r="B248" s="33" t="s">
        <v>202</v>
      </c>
      <c r="C248" s="34">
        <v>0</v>
      </c>
      <c r="D248" s="35">
        <v>3</v>
      </c>
      <c r="E248" s="35">
        <v>3</v>
      </c>
      <c r="F248" s="93">
        <v>0</v>
      </c>
      <c r="G248" s="36"/>
      <c r="H248" s="34"/>
      <c r="I248" s="35">
        <v>110</v>
      </c>
      <c r="J248" s="35">
        <v>110</v>
      </c>
      <c r="K248" s="93">
        <v>114</v>
      </c>
      <c r="L248" s="36"/>
      <c r="M248" s="34">
        <v>0</v>
      </c>
      <c r="N248" s="35">
        <v>0</v>
      </c>
      <c r="O248" s="35">
        <v>62</v>
      </c>
      <c r="P248" s="93">
        <v>8</v>
      </c>
      <c r="Q248" s="36"/>
      <c r="R248" s="34">
        <v>0</v>
      </c>
      <c r="S248" s="35">
        <v>0</v>
      </c>
      <c r="T248" s="35">
        <v>0</v>
      </c>
      <c r="U248" s="35">
        <v>0</v>
      </c>
      <c r="V248" s="35">
        <v>0</v>
      </c>
      <c r="W248" s="93">
        <v>0</v>
      </c>
      <c r="X248" s="36"/>
      <c r="Y248" s="34"/>
      <c r="Z248" s="35"/>
      <c r="AA248" s="35"/>
      <c r="AB248" s="93">
        <v>38.22</v>
      </c>
      <c r="AC248" s="89">
        <v>29</v>
      </c>
      <c r="AD248" s="154">
        <v>29</v>
      </c>
      <c r="AE248" s="90"/>
      <c r="AF248" s="38"/>
      <c r="AG248" s="39"/>
      <c r="AH248" s="39"/>
      <c r="AI248" s="39"/>
      <c r="AJ248" s="39">
        <v>22155</v>
      </c>
      <c r="AK248" s="182">
        <v>29004</v>
      </c>
      <c r="AL248" s="40"/>
      <c r="AM248" s="38"/>
      <c r="AN248" s="39"/>
      <c r="AO248" s="39"/>
      <c r="AP248" s="39"/>
      <c r="AQ248" s="39">
        <v>7014</v>
      </c>
      <c r="AR248" s="182">
        <v>3978</v>
      </c>
      <c r="AS248" s="40"/>
      <c r="AT248" s="41"/>
      <c r="AU248" s="42"/>
      <c r="AV248" s="42"/>
      <c r="AW248" s="42"/>
      <c r="AX248" s="42">
        <f t="shared" si="106"/>
        <v>0.31658767772511848</v>
      </c>
      <c r="AY248" s="183">
        <f t="shared" si="131"/>
        <v>0.13715349606950766</v>
      </c>
      <c r="AZ248" s="43"/>
      <c r="BA248" s="41" t="s">
        <v>226</v>
      </c>
      <c r="BB248" s="44"/>
      <c r="BC248" s="44"/>
      <c r="BD248" s="44"/>
      <c r="BE248" s="44"/>
      <c r="BF248" s="184">
        <f t="shared" si="140"/>
        <v>13.715349606950767</v>
      </c>
      <c r="BG248" s="45"/>
      <c r="BH248" s="34" t="s">
        <v>226</v>
      </c>
      <c r="BI248" s="46"/>
      <c r="BJ248" s="46"/>
      <c r="BK248" s="46"/>
      <c r="BL248" s="46"/>
      <c r="BM248" s="185"/>
      <c r="BN248" s="47"/>
      <c r="BO248" s="41"/>
      <c r="BP248" s="42"/>
      <c r="BQ248" s="42">
        <f>V248/O248</f>
        <v>0</v>
      </c>
      <c r="BR248" s="183">
        <f>W248/P248</f>
        <v>0</v>
      </c>
      <c r="BS248" s="183"/>
      <c r="BT248" s="48"/>
      <c r="BU248" s="48"/>
    </row>
    <row r="249" spans="1:73" s="9" customFormat="1" x14ac:dyDescent="0.25">
      <c r="A249" s="12">
        <v>108</v>
      </c>
      <c r="B249" s="17" t="s">
        <v>63</v>
      </c>
      <c r="C249" s="2">
        <v>0</v>
      </c>
      <c r="D249" s="3">
        <v>0</v>
      </c>
      <c r="E249" s="3">
        <v>0</v>
      </c>
      <c r="F249" s="144">
        <v>0</v>
      </c>
      <c r="G249" s="4">
        <v>0</v>
      </c>
      <c r="H249" s="2">
        <v>836</v>
      </c>
      <c r="I249" s="3">
        <v>836</v>
      </c>
      <c r="J249" s="3">
        <v>836</v>
      </c>
      <c r="K249" s="144">
        <v>836</v>
      </c>
      <c r="L249" s="4">
        <v>837</v>
      </c>
      <c r="M249" s="2">
        <v>98</v>
      </c>
      <c r="N249" s="3">
        <v>185</v>
      </c>
      <c r="O249" s="3">
        <v>389</v>
      </c>
      <c r="P249" s="144">
        <v>407</v>
      </c>
      <c r="Q249" s="4">
        <v>399</v>
      </c>
      <c r="R249" s="2">
        <v>0</v>
      </c>
      <c r="S249" s="3">
        <v>0</v>
      </c>
      <c r="T249" s="3">
        <v>4</v>
      </c>
      <c r="U249" s="3">
        <v>0</v>
      </c>
      <c r="V249" s="3">
        <v>1</v>
      </c>
      <c r="W249" s="144">
        <v>0</v>
      </c>
      <c r="X249" s="4">
        <v>0</v>
      </c>
      <c r="Y249" s="2">
        <v>17.87</v>
      </c>
      <c r="Z249" s="3">
        <v>23.23</v>
      </c>
      <c r="AA249" s="3">
        <v>32.43</v>
      </c>
      <c r="AB249" s="144">
        <v>32.43</v>
      </c>
      <c r="AC249" s="3">
        <v>32.43</v>
      </c>
      <c r="AD249" s="153">
        <v>32.43</v>
      </c>
      <c r="AE249" s="86">
        <v>32.43</v>
      </c>
      <c r="AF249" s="19">
        <v>98961</v>
      </c>
      <c r="AG249" s="20">
        <v>96250</v>
      </c>
      <c r="AH249" s="20">
        <v>128360</v>
      </c>
      <c r="AI249" s="20">
        <v>176579</v>
      </c>
      <c r="AJ249" s="20">
        <v>171232</v>
      </c>
      <c r="AK249" s="210">
        <v>175242</v>
      </c>
      <c r="AL249" s="21">
        <v>196644</v>
      </c>
      <c r="AM249" s="19">
        <v>3978</v>
      </c>
      <c r="AN249" s="20">
        <v>4840</v>
      </c>
      <c r="AO249" s="20">
        <v>10735</v>
      </c>
      <c r="AP249" s="20">
        <v>27570</v>
      </c>
      <c r="AQ249" s="20">
        <v>55816</v>
      </c>
      <c r="AR249" s="210">
        <v>59258</v>
      </c>
      <c r="AS249" s="21">
        <v>64146</v>
      </c>
      <c r="AT249" s="50">
        <f t="shared" si="102"/>
        <v>4.0197653621123472E-2</v>
      </c>
      <c r="AU249" s="51">
        <f t="shared" si="103"/>
        <v>5.0285714285714288E-2</v>
      </c>
      <c r="AV249" s="51">
        <f t="shared" si="104"/>
        <v>8.3631972577126831E-2</v>
      </c>
      <c r="AW249" s="51">
        <f t="shared" si="105"/>
        <v>0.15613408162918579</v>
      </c>
      <c r="AX249" s="51">
        <f t="shared" si="106"/>
        <v>0.32596710895159781</v>
      </c>
      <c r="AY249" s="211">
        <f t="shared" si="131"/>
        <v>0.33814953036372558</v>
      </c>
      <c r="AZ249" s="52">
        <f t="shared" si="137"/>
        <v>0.32620369805333493</v>
      </c>
      <c r="BA249" s="50" t="s">
        <v>226</v>
      </c>
      <c r="BB249" s="53">
        <f t="shared" ref="BB249:BE250" si="157">(AU249-$AT249)*100</f>
        <v>1.0088060664590817</v>
      </c>
      <c r="BC249" s="53">
        <f t="shared" si="157"/>
        <v>4.3434318956003359</v>
      </c>
      <c r="BD249" s="53">
        <f t="shared" si="157"/>
        <v>11.593642800806233</v>
      </c>
      <c r="BE249" s="53">
        <f t="shared" si="157"/>
        <v>28.576945533047432</v>
      </c>
      <c r="BF249" s="212">
        <f t="shared" si="140"/>
        <v>29.795187674260209</v>
      </c>
      <c r="BG249" s="54">
        <f t="shared" si="141"/>
        <v>28.600604443221144</v>
      </c>
      <c r="BH249" s="2" t="s">
        <v>226</v>
      </c>
      <c r="BI249" s="55">
        <f t="shared" si="152"/>
        <v>1.0088060664590817</v>
      </c>
      <c r="BJ249" s="55">
        <f t="shared" si="153"/>
        <v>3.3346258291412543</v>
      </c>
      <c r="BK249" s="55">
        <f t="shared" si="154"/>
        <v>7.2502109052058961</v>
      </c>
      <c r="BL249" s="55">
        <f t="shared" si="155"/>
        <v>16.983302732241199</v>
      </c>
      <c r="BM249" s="213">
        <f t="shared" si="142"/>
        <v>1.2182421412127775</v>
      </c>
      <c r="BN249" s="56">
        <f t="shared" si="143"/>
        <v>-1.1945832310390647</v>
      </c>
      <c r="BO249" s="50">
        <f>T249/M249</f>
        <v>4.0816326530612242E-2</v>
      </c>
      <c r="BP249" s="51">
        <f>U249/N249</f>
        <v>0</v>
      </c>
      <c r="BQ249" s="51">
        <f>V249/O249</f>
        <v>2.5706940874035988E-3</v>
      </c>
      <c r="BR249" s="211">
        <f>W249/P249</f>
        <v>0</v>
      </c>
      <c r="BS249" s="211">
        <f>X249/Q249</f>
        <v>0</v>
      </c>
      <c r="BT249" s="57">
        <f t="shared" si="144"/>
        <v>0</v>
      </c>
      <c r="BU249" s="57">
        <f>(Q249-P249)/P249</f>
        <v>-1.9656019656019656E-2</v>
      </c>
    </row>
    <row r="250" spans="1:73" s="22" customFormat="1" ht="15.75" thickBot="1" x14ac:dyDescent="0.3">
      <c r="A250" s="95">
        <v>109</v>
      </c>
      <c r="B250" s="220" t="s">
        <v>64</v>
      </c>
      <c r="C250" s="96">
        <v>10</v>
      </c>
      <c r="D250" s="97">
        <v>10</v>
      </c>
      <c r="E250" s="97">
        <v>10</v>
      </c>
      <c r="F250" s="195"/>
      <c r="G250" s="98"/>
      <c r="H250" s="96">
        <v>278</v>
      </c>
      <c r="I250" s="97">
        <v>281</v>
      </c>
      <c r="J250" s="97">
        <v>280</v>
      </c>
      <c r="K250" s="195"/>
      <c r="L250" s="98"/>
      <c r="M250" s="96">
        <v>28</v>
      </c>
      <c r="N250" s="97">
        <v>26</v>
      </c>
      <c r="O250" s="97">
        <v>19</v>
      </c>
      <c r="P250" s="195"/>
      <c r="Q250" s="98"/>
      <c r="R250" s="96">
        <v>0</v>
      </c>
      <c r="S250" s="97">
        <v>0</v>
      </c>
      <c r="T250" s="97">
        <v>0</v>
      </c>
      <c r="U250" s="97">
        <v>0</v>
      </c>
      <c r="V250" s="97">
        <v>0</v>
      </c>
      <c r="W250" s="195"/>
      <c r="X250" s="98"/>
      <c r="Y250" s="96"/>
      <c r="Z250" s="97"/>
      <c r="AA250" s="97"/>
      <c r="AB250" s="195"/>
      <c r="AC250" s="97"/>
      <c r="AD250" s="263"/>
      <c r="AE250" s="229"/>
      <c r="AF250" s="272">
        <v>23152</v>
      </c>
      <c r="AG250" s="99">
        <v>23071</v>
      </c>
      <c r="AH250" s="99">
        <v>23175</v>
      </c>
      <c r="AI250" s="99">
        <v>23495</v>
      </c>
      <c r="AJ250" s="99">
        <v>23613</v>
      </c>
      <c r="AK250" s="197"/>
      <c r="AL250" s="100"/>
      <c r="AM250" s="96">
        <v>2975</v>
      </c>
      <c r="AN250" s="97">
        <v>3066</v>
      </c>
      <c r="AO250" s="97">
        <v>2685</v>
      </c>
      <c r="AP250" s="97">
        <v>2949</v>
      </c>
      <c r="AQ250" s="97">
        <v>1375</v>
      </c>
      <c r="AR250" s="195"/>
      <c r="AS250" s="98"/>
      <c r="AT250" s="280"/>
      <c r="AU250" s="101"/>
      <c r="AV250" s="101"/>
      <c r="AW250" s="101"/>
      <c r="AX250" s="101"/>
      <c r="AY250" s="198"/>
      <c r="AZ250" s="102"/>
      <c r="BA250" s="280" t="s">
        <v>226</v>
      </c>
      <c r="BB250" s="283">
        <f t="shared" si="157"/>
        <v>0</v>
      </c>
      <c r="BC250" s="283">
        <f t="shared" si="157"/>
        <v>0</v>
      </c>
      <c r="BD250" s="283">
        <f t="shared" si="157"/>
        <v>0</v>
      </c>
      <c r="BE250" s="283">
        <f t="shared" si="157"/>
        <v>0</v>
      </c>
      <c r="BF250" s="284"/>
      <c r="BG250" s="202"/>
      <c r="BH250" s="96" t="s">
        <v>226</v>
      </c>
      <c r="BI250" s="288">
        <f>(AU250-AT250)*100</f>
        <v>0</v>
      </c>
      <c r="BJ250" s="288">
        <f>(AV250-AU250)*100</f>
        <v>0</v>
      </c>
      <c r="BK250" s="288">
        <f>(AW250-AV250)*100</f>
        <v>0</v>
      </c>
      <c r="BL250" s="288">
        <f>(AX250-AW250)*100</f>
        <v>0</v>
      </c>
      <c r="BM250" s="289"/>
      <c r="BN250" s="203"/>
      <c r="BO250" s="280">
        <f>T250/M250</f>
        <v>0</v>
      </c>
      <c r="BP250" s="101">
        <f>U250/N250</f>
        <v>0</v>
      </c>
      <c r="BQ250" s="101">
        <f>V250/O250</f>
        <v>0</v>
      </c>
      <c r="BR250" s="198"/>
      <c r="BS250" s="198"/>
      <c r="BT250" s="415"/>
      <c r="BU250" s="415"/>
    </row>
    <row r="251" spans="1:73" ht="16.5" thickBot="1" x14ac:dyDescent="0.3">
      <c r="A251" s="103"/>
      <c r="B251" s="221" t="s">
        <v>354</v>
      </c>
      <c r="C251" s="242">
        <f t="shared" ref="C251:X251" si="158">SUM(C3:C250)</f>
        <v>1654</v>
      </c>
      <c r="D251" s="243">
        <f t="shared" si="158"/>
        <v>1739</v>
      </c>
      <c r="E251" s="243">
        <f t="shared" si="158"/>
        <v>1785</v>
      </c>
      <c r="F251" s="244">
        <f t="shared" si="158"/>
        <v>1085</v>
      </c>
      <c r="G251" s="171">
        <f t="shared" si="158"/>
        <v>1357</v>
      </c>
      <c r="H251" s="249">
        <f t="shared" si="158"/>
        <v>84905</v>
      </c>
      <c r="I251" s="250">
        <f t="shared" si="158"/>
        <v>86446</v>
      </c>
      <c r="J251" s="251">
        <f t="shared" si="158"/>
        <v>86553</v>
      </c>
      <c r="K251" s="252">
        <f t="shared" si="158"/>
        <v>81007</v>
      </c>
      <c r="L251" s="252">
        <f t="shared" si="158"/>
        <v>76523</v>
      </c>
      <c r="M251" s="253">
        <f t="shared" si="158"/>
        <v>18955</v>
      </c>
      <c r="N251" s="254">
        <f t="shared" si="158"/>
        <v>25835</v>
      </c>
      <c r="O251" s="255">
        <f t="shared" si="158"/>
        <v>28997</v>
      </c>
      <c r="P251" s="254">
        <f t="shared" si="158"/>
        <v>28474</v>
      </c>
      <c r="Q251" s="254">
        <f t="shared" si="158"/>
        <v>27531</v>
      </c>
      <c r="R251" s="253">
        <f t="shared" si="158"/>
        <v>1216</v>
      </c>
      <c r="S251" s="254">
        <f t="shared" si="158"/>
        <v>893</v>
      </c>
      <c r="T251" s="254">
        <f t="shared" si="158"/>
        <v>1143</v>
      </c>
      <c r="U251" s="254">
        <f t="shared" si="158"/>
        <v>2082</v>
      </c>
      <c r="V251" s="255">
        <f t="shared" si="158"/>
        <v>2212</v>
      </c>
      <c r="W251" s="254">
        <f t="shared" si="158"/>
        <v>2985</v>
      </c>
      <c r="X251" s="254">
        <f t="shared" si="158"/>
        <v>2350</v>
      </c>
      <c r="Y251" s="103"/>
      <c r="Z251" s="103"/>
      <c r="AA251" s="262"/>
      <c r="AB251" s="262"/>
      <c r="AC251" s="262"/>
      <c r="AD251" s="256"/>
      <c r="AE251" s="256"/>
      <c r="AF251" s="267">
        <f t="shared" ref="AF251:AS251" si="159">SUM(AF3:AF250)</f>
        <v>16399597.43</v>
      </c>
      <c r="AG251" s="267">
        <f t="shared" si="159"/>
        <v>19939297.119999997</v>
      </c>
      <c r="AH251" s="268">
        <f t="shared" si="159"/>
        <v>25787384.710000001</v>
      </c>
      <c r="AI251" s="268">
        <f t="shared" si="159"/>
        <v>34020834.159999996</v>
      </c>
      <c r="AJ251" s="268">
        <f t="shared" si="159"/>
        <v>36861798.460000008</v>
      </c>
      <c r="AK251" s="254">
        <f t="shared" si="159"/>
        <v>32721551.064000003</v>
      </c>
      <c r="AL251" s="254">
        <f t="shared" si="159"/>
        <v>33098806.360000003</v>
      </c>
      <c r="AM251" s="273">
        <f t="shared" si="159"/>
        <v>1729932.3900000001</v>
      </c>
      <c r="AN251" s="273">
        <f t="shared" si="159"/>
        <v>1672015.43</v>
      </c>
      <c r="AO251" s="273">
        <f t="shared" si="159"/>
        <v>2392774.3500000006</v>
      </c>
      <c r="AP251" s="273">
        <f t="shared" si="159"/>
        <v>4818425.6499999994</v>
      </c>
      <c r="AQ251" s="273">
        <f t="shared" si="159"/>
        <v>5926230.0800000019</v>
      </c>
      <c r="AR251" s="273">
        <f t="shared" si="159"/>
        <v>5692467.6469999999</v>
      </c>
      <c r="AS251" s="273">
        <f t="shared" si="159"/>
        <v>5461067.9199999981</v>
      </c>
      <c r="AT251" s="166"/>
      <c r="AU251" s="166"/>
      <c r="AV251" s="166"/>
      <c r="AW251" s="166"/>
      <c r="AX251" s="166"/>
      <c r="AY251" s="166"/>
      <c r="AZ251" s="166"/>
      <c r="BA251" s="164"/>
      <c r="BB251" s="179"/>
      <c r="BC251" s="180"/>
      <c r="BD251" s="180"/>
      <c r="BE251" s="180"/>
      <c r="BF251" s="180"/>
      <c r="BG251" s="164"/>
      <c r="BH251" s="164"/>
      <c r="BI251" s="180"/>
      <c r="BJ251" s="180"/>
      <c r="BK251" s="180"/>
      <c r="BL251" s="180"/>
      <c r="BM251" s="180"/>
      <c r="BN251" s="164"/>
      <c r="BO251" s="166"/>
      <c r="BP251" s="166"/>
      <c r="BQ251" s="166"/>
      <c r="BR251" s="166"/>
      <c r="BS251" s="166"/>
      <c r="BT251" s="166"/>
      <c r="BU251" s="166"/>
    </row>
    <row r="252" spans="1:73" ht="16.5" thickBot="1" x14ac:dyDescent="0.3">
      <c r="A252" s="103"/>
      <c r="B252" s="221" t="s">
        <v>363</v>
      </c>
      <c r="C252" s="103"/>
      <c r="D252" s="103"/>
      <c r="E252" s="162"/>
      <c r="F252" s="162"/>
      <c r="G252" s="162"/>
      <c r="H252" s="103"/>
      <c r="I252" s="103"/>
      <c r="J252" s="103"/>
      <c r="K252" s="162"/>
      <c r="L252" s="162"/>
      <c r="M252" s="173">
        <f t="shared" ref="M252:AC252" si="160">AVERAGE(M3:M250)</f>
        <v>117.00617283950618</v>
      </c>
      <c r="N252" s="173">
        <f t="shared" si="160"/>
        <v>157.53048780487805</v>
      </c>
      <c r="O252" s="173">
        <f t="shared" si="160"/>
        <v>173.63473053892216</v>
      </c>
      <c r="P252" s="173">
        <f t="shared" si="160"/>
        <v>199.11888111888112</v>
      </c>
      <c r="Q252" s="173">
        <f t="shared" si="160"/>
        <v>191.1875</v>
      </c>
      <c r="R252" s="173">
        <f t="shared" si="160"/>
        <v>8</v>
      </c>
      <c r="S252" s="173">
        <f t="shared" si="160"/>
        <v>5.9139072847682117</v>
      </c>
      <c r="T252" s="173">
        <f t="shared" si="160"/>
        <v>7.5197368421052628</v>
      </c>
      <c r="U252" s="173">
        <f t="shared" si="160"/>
        <v>13.346153846153847</v>
      </c>
      <c r="V252" s="173">
        <f t="shared" si="160"/>
        <v>14.270967741935484</v>
      </c>
      <c r="W252" s="173">
        <f t="shared" si="160"/>
        <v>20.874125874125873</v>
      </c>
      <c r="X252" s="173">
        <f t="shared" si="160"/>
        <v>16.319444444444443</v>
      </c>
      <c r="Y252" s="224">
        <f t="shared" si="160"/>
        <v>22.141759259259256</v>
      </c>
      <c r="Z252" s="225">
        <f t="shared" si="160"/>
        <v>25.404158075601377</v>
      </c>
      <c r="AA252" s="225">
        <f t="shared" si="160"/>
        <v>32.291316831683154</v>
      </c>
      <c r="AB252" s="226">
        <f t="shared" si="160"/>
        <v>33.872574257425732</v>
      </c>
      <c r="AC252" s="225">
        <f t="shared" si="160"/>
        <v>33.181905228758161</v>
      </c>
      <c r="AD252" s="223">
        <f t="shared" ref="AD252:AZ252" si="161">AVERAGE(AD3:AD250)</f>
        <v>34.669234693877542</v>
      </c>
      <c r="AE252" s="223">
        <f t="shared" si="161"/>
        <v>35.811844660194183</v>
      </c>
      <c r="AF252" s="173">
        <f t="shared" si="161"/>
        <v>113886.09326388889</v>
      </c>
      <c r="AG252" s="173">
        <f t="shared" si="161"/>
        <v>132928.64746666665</v>
      </c>
      <c r="AH252" s="174">
        <f t="shared" si="161"/>
        <v>164250.8580254777</v>
      </c>
      <c r="AI252" s="174">
        <f t="shared" si="161"/>
        <v>212630.21349999998</v>
      </c>
      <c r="AJ252" s="174">
        <f t="shared" si="161"/>
        <v>215566.07286549712</v>
      </c>
      <c r="AK252" s="141">
        <f t="shared" si="161"/>
        <v>232067.73804255322</v>
      </c>
      <c r="AL252" s="141">
        <f t="shared" si="161"/>
        <v>229852.82194444447</v>
      </c>
      <c r="AM252" s="141">
        <f t="shared" si="161"/>
        <v>12720.091102941178</v>
      </c>
      <c r="AN252" s="141">
        <f t="shared" si="161"/>
        <v>11774.756549295775</v>
      </c>
      <c r="AO252" s="141">
        <f t="shared" si="161"/>
        <v>15741.936513157898</v>
      </c>
      <c r="AP252" s="141">
        <f t="shared" si="161"/>
        <v>30496.364873417719</v>
      </c>
      <c r="AQ252" s="141">
        <f t="shared" si="161"/>
        <v>35066.450177514802</v>
      </c>
      <c r="AR252" s="141">
        <f t="shared" si="161"/>
        <v>40372.110971631206</v>
      </c>
      <c r="AS252" s="141">
        <f t="shared" si="161"/>
        <v>37924.082777777767</v>
      </c>
      <c r="AT252" s="106">
        <f t="shared" si="161"/>
        <v>0.15653668939987936</v>
      </c>
      <c r="AU252" s="106">
        <f t="shared" si="161"/>
        <v>0.13752101917285706</v>
      </c>
      <c r="AV252" s="106">
        <f t="shared" si="161"/>
        <v>0.14252446731844998</v>
      </c>
      <c r="AW252" s="106">
        <f t="shared" si="161"/>
        <v>0.18144134199027753</v>
      </c>
      <c r="AX252" s="106">
        <f t="shared" si="161"/>
        <v>0.2409541455357152</v>
      </c>
      <c r="AY252" s="106">
        <f t="shared" si="161"/>
        <v>0.21452608634475395</v>
      </c>
      <c r="AZ252" s="106">
        <f t="shared" si="161"/>
        <v>0.18771864886660761</v>
      </c>
      <c r="BA252" s="164"/>
      <c r="BB252" s="181">
        <f t="shared" ref="BB252:BG252" si="162">AVERAGE(BB3:BB250)</f>
        <v>-2.0583051577432294</v>
      </c>
      <c r="BC252" s="105">
        <f t="shared" si="162"/>
        <v>-1.407195082043756</v>
      </c>
      <c r="BD252" s="105">
        <f t="shared" si="162"/>
        <v>2.3581152870041957</v>
      </c>
      <c r="BE252" s="105">
        <f t="shared" si="162"/>
        <v>8.0816533846680194</v>
      </c>
      <c r="BF252" s="105">
        <f t="shared" si="162"/>
        <v>7.8045636273135228</v>
      </c>
      <c r="BG252" s="105">
        <f t="shared" si="162"/>
        <v>3.0589556082847982</v>
      </c>
      <c r="BH252" s="164"/>
      <c r="BI252" s="105">
        <f t="shared" ref="BI252:BQ252" si="163">AVERAGE(BI3:BI250)</f>
        <v>-1.8794897345951211</v>
      </c>
      <c r="BJ252" s="105">
        <f t="shared" si="163"/>
        <v>0.63066453778195886</v>
      </c>
      <c r="BK252" s="105">
        <f t="shared" si="163"/>
        <v>4.0454605589946278</v>
      </c>
      <c r="BL252" s="105">
        <f t="shared" si="163"/>
        <v>5.6249332567762131</v>
      </c>
      <c r="BM252" s="105">
        <f t="shared" si="163"/>
        <v>-1.4567265950704906</v>
      </c>
      <c r="BN252" s="105">
        <f t="shared" si="163"/>
        <v>-3.6870669250850723</v>
      </c>
      <c r="BO252" s="106">
        <f t="shared" si="163"/>
        <v>0.10091316500655713</v>
      </c>
      <c r="BP252" s="106">
        <f t="shared" si="163"/>
        <v>7.5677297055832191E-2</v>
      </c>
      <c r="BQ252" s="106">
        <f t="shared" si="163"/>
        <v>7.1177843605375379E-2</v>
      </c>
      <c r="BR252" s="106">
        <f>AVERAGE(BR3:BR250)</f>
        <v>0.1096172872675196</v>
      </c>
      <c r="BS252" s="106">
        <f>AVERAGE(BS3:BS250)</f>
        <v>0.10136923067530103</v>
      </c>
      <c r="BT252" s="166"/>
      <c r="BU252" s="166"/>
    </row>
    <row r="253" spans="1:73" x14ac:dyDescent="0.25">
      <c r="A253" s="103"/>
      <c r="B253" s="104"/>
      <c r="C253" s="103"/>
      <c r="D253" s="103"/>
      <c r="E253" s="162"/>
      <c r="F253" s="162"/>
      <c r="G253" s="162"/>
      <c r="H253" s="103"/>
      <c r="I253" s="103"/>
      <c r="J253" s="103"/>
      <c r="K253" s="162"/>
      <c r="L253" s="162"/>
      <c r="M253" s="103"/>
      <c r="N253" s="103"/>
      <c r="O253" s="103"/>
      <c r="P253" s="162"/>
      <c r="Q253" s="162"/>
      <c r="R253" s="103"/>
      <c r="S253" s="103"/>
      <c r="T253" s="103"/>
      <c r="U253" s="103"/>
      <c r="V253" s="103"/>
      <c r="W253" s="162"/>
      <c r="X253" s="162"/>
      <c r="Y253" s="103"/>
      <c r="Z253" s="103"/>
      <c r="AA253" s="176"/>
      <c r="AB253" s="176"/>
      <c r="AC253" s="176"/>
      <c r="AD253" s="176"/>
      <c r="AE253" s="176"/>
      <c r="AF253" s="103"/>
      <c r="AG253" s="103"/>
      <c r="AH253" s="172"/>
      <c r="AI253" s="172"/>
      <c r="AJ253" s="172"/>
      <c r="AK253" s="161"/>
      <c r="AL253" s="161"/>
      <c r="AM253" s="164"/>
      <c r="AN253" s="164"/>
      <c r="AO253" s="164"/>
      <c r="AP253" s="164"/>
      <c r="AQ253" s="164"/>
      <c r="AR253" s="164"/>
      <c r="AS253" s="164"/>
      <c r="AT253" s="166"/>
      <c r="AU253" s="166"/>
      <c r="AV253" s="166"/>
      <c r="AW253" s="166"/>
      <c r="AX253" s="164"/>
      <c r="AY253" s="164"/>
      <c r="AZ253" s="164"/>
      <c r="BA253" s="164"/>
      <c r="BB253" s="164"/>
      <c r="BC253" s="164"/>
      <c r="BD253" s="164"/>
      <c r="BE253" s="164"/>
      <c r="BF253" s="164"/>
      <c r="BG253" s="164"/>
      <c r="BH253" s="164"/>
      <c r="BI253" s="164"/>
      <c r="BJ253" s="164"/>
      <c r="BK253" s="164"/>
      <c r="BL253" s="164"/>
      <c r="BM253" s="164"/>
      <c r="BN253" s="164"/>
      <c r="BO253" s="166"/>
      <c r="BP253" s="166"/>
      <c r="BQ253" s="166"/>
      <c r="BR253" s="166"/>
      <c r="BS253" s="166"/>
      <c r="BT253" s="166"/>
      <c r="BU253" s="166"/>
    </row>
    <row r="254" spans="1:73" x14ac:dyDescent="0.25">
      <c r="A254" s="103"/>
      <c r="B254" s="104"/>
      <c r="C254" s="35"/>
      <c r="D254" s="354" t="s">
        <v>350</v>
      </c>
      <c r="E254" s="355"/>
      <c r="F254" s="355"/>
      <c r="G254" s="355"/>
      <c r="H254" s="355"/>
      <c r="I254" s="355"/>
      <c r="J254" s="103"/>
      <c r="K254" s="162"/>
      <c r="L254" s="162"/>
      <c r="M254" s="103"/>
      <c r="N254" s="103"/>
      <c r="O254" s="103"/>
      <c r="P254" s="162"/>
      <c r="Q254" s="346"/>
      <c r="R254" s="103"/>
      <c r="S254" s="103"/>
      <c r="T254" s="103"/>
      <c r="U254" s="103"/>
      <c r="V254" s="103"/>
      <c r="W254" s="162"/>
      <c r="X254" s="346"/>
      <c r="Y254" s="103"/>
      <c r="Z254" s="103"/>
      <c r="AA254" s="176"/>
      <c r="AB254" s="176"/>
      <c r="AC254" s="176"/>
      <c r="AD254" s="176"/>
      <c r="AE254" s="347"/>
      <c r="AF254" s="103"/>
      <c r="AG254" s="103"/>
      <c r="AH254" s="172"/>
      <c r="AI254" s="172"/>
      <c r="AJ254" s="172"/>
      <c r="AK254" s="161"/>
      <c r="AL254" s="161"/>
      <c r="AM254" s="164"/>
      <c r="AN254" s="164"/>
      <c r="AO254" s="164"/>
      <c r="AP254" s="164"/>
      <c r="AQ254" s="164"/>
      <c r="AR254" s="164"/>
      <c r="AS254" s="334"/>
      <c r="AT254" s="166"/>
      <c r="AU254" s="166"/>
      <c r="AV254" s="166"/>
      <c r="AW254" s="166"/>
      <c r="AX254" s="166"/>
      <c r="AY254" s="166"/>
      <c r="AZ254" s="166"/>
      <c r="BA254" s="164"/>
      <c r="BB254" s="164"/>
      <c r="BC254" s="164"/>
      <c r="BD254" s="164"/>
      <c r="BE254" s="164"/>
      <c r="BF254" s="164"/>
      <c r="BG254" s="164"/>
      <c r="BH254" s="164"/>
      <c r="BI254" s="164"/>
      <c r="BJ254" s="164"/>
      <c r="BK254" s="164"/>
      <c r="BL254" s="164"/>
      <c r="BM254" s="164"/>
      <c r="BN254" s="164"/>
      <c r="BO254" s="166"/>
      <c r="BP254" s="166"/>
      <c r="BQ254" s="166"/>
      <c r="BR254" s="166"/>
      <c r="BS254" s="166"/>
      <c r="BT254" s="166"/>
      <c r="BU254" s="166"/>
    </row>
    <row r="255" spans="1:73" x14ac:dyDescent="0.25">
      <c r="C255" s="177"/>
      <c r="D255" s="352" t="s">
        <v>351</v>
      </c>
      <c r="E255" s="353"/>
      <c r="F255" s="353"/>
      <c r="G255" s="353"/>
      <c r="H255" s="353"/>
      <c r="I255" s="353"/>
    </row>
    <row r="256" spans="1:73" ht="18" x14ac:dyDescent="0.25">
      <c r="B256" s="112" t="s">
        <v>345</v>
      </c>
      <c r="C256" s="178"/>
      <c r="D256" s="352" t="s">
        <v>352</v>
      </c>
      <c r="E256" s="353"/>
      <c r="F256" s="353"/>
      <c r="G256" s="353"/>
      <c r="H256" s="353"/>
      <c r="I256" s="353"/>
    </row>
  </sheetData>
  <mergeCells count="17">
    <mergeCell ref="A1:B1"/>
    <mergeCell ref="BT1:BT2"/>
    <mergeCell ref="C1:G1"/>
    <mergeCell ref="H1:L1"/>
    <mergeCell ref="M1:Q1"/>
    <mergeCell ref="R1:X1"/>
    <mergeCell ref="Y1:AE1"/>
    <mergeCell ref="AF1:AL1"/>
    <mergeCell ref="AM1:AS1"/>
    <mergeCell ref="AT1:AZ1"/>
    <mergeCell ref="BA1:BG1"/>
    <mergeCell ref="BH1:BN1"/>
    <mergeCell ref="BO1:BS1"/>
    <mergeCell ref="BU1:BU2"/>
    <mergeCell ref="D255:I255"/>
    <mergeCell ref="D256:I256"/>
    <mergeCell ref="D254:I254"/>
  </mergeCells>
  <pageMargins left="0.23622047244094491" right="0.23622047244094491" top="0.74803149606299213" bottom="0.74803149606299213" header="0.31496062992125984" footer="0.31496062992125984"/>
  <pageSetup paperSize="8" scale="51" pageOrder="overThenDown" orientation="landscape" r:id="rId1"/>
  <rowBreaks count="1" manualBreakCount="1">
    <brk id="110" max="52" man="1"/>
  </rowBreaks>
  <colBreaks count="1" manualBreakCount="1">
    <brk id="47" max="2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BW49"/>
  <sheetViews>
    <sheetView workbookViewId="0">
      <pane xSplit="2" ySplit="2" topLeftCell="C3" activePane="bottomRight" state="frozenSplit"/>
      <selection pane="topRight" activeCell="C1" sqref="C1"/>
      <selection pane="bottomLeft" activeCell="A3" sqref="A3"/>
      <selection pane="bottomRight" activeCell="BW11" sqref="BW11"/>
    </sheetView>
  </sheetViews>
  <sheetFormatPr defaultRowHeight="15" x14ac:dyDescent="0.25"/>
  <cols>
    <col min="1" max="1" width="6.28515625" style="11" customWidth="1"/>
    <col min="2" max="2" width="45.28515625" style="139" customWidth="1"/>
    <col min="3" max="17" width="9.140625" style="11"/>
    <col min="18" max="22" width="10.5703125" style="11" bestFit="1" customWidth="1"/>
    <col min="23" max="24" width="10.5703125" style="11" customWidth="1"/>
    <col min="25" max="28" width="12.28515625" style="11" customWidth="1"/>
    <col min="29" max="29" width="12.42578125" style="11" customWidth="1"/>
    <col min="30" max="31" width="12.28515625" style="11" hidden="1" customWidth="1"/>
    <col min="32" max="33" width="12.28515625" style="11" customWidth="1"/>
    <col min="34" max="47" width="10.85546875" style="11" customWidth="1"/>
    <col min="48" max="61" width="10.28515625" style="11" customWidth="1"/>
    <col min="62" max="62" width="11.140625" style="11" bestFit="1" customWidth="1"/>
    <col min="63" max="63" width="10.28515625" style="11" bestFit="1" customWidth="1"/>
    <col min="64" max="66" width="10.140625" style="11" bestFit="1" customWidth="1"/>
    <col min="67" max="68" width="10.140625" style="11" customWidth="1"/>
    <col min="69" max="71" width="10.140625" style="11" bestFit="1" customWidth="1"/>
    <col min="72" max="73" width="10.140625" style="11" customWidth="1"/>
    <col min="74" max="75" width="20.140625" style="11" customWidth="1"/>
    <col min="76" max="16384" width="9.140625" style="11"/>
  </cols>
  <sheetData>
    <row r="1" spans="1:75" s="133" customFormat="1" ht="69" customHeight="1" thickBot="1" x14ac:dyDescent="0.3">
      <c r="A1" s="357"/>
      <c r="B1" s="358"/>
      <c r="C1" s="357" t="s">
        <v>73</v>
      </c>
      <c r="D1" s="359"/>
      <c r="E1" s="359"/>
      <c r="F1" s="359"/>
      <c r="G1" s="358"/>
      <c r="H1" s="357" t="s">
        <v>74</v>
      </c>
      <c r="I1" s="359"/>
      <c r="J1" s="359"/>
      <c r="K1" s="359"/>
      <c r="L1" s="358"/>
      <c r="M1" s="357" t="s">
        <v>75</v>
      </c>
      <c r="N1" s="359"/>
      <c r="O1" s="359"/>
      <c r="P1" s="359"/>
      <c r="Q1" s="358"/>
      <c r="R1" s="357" t="s">
        <v>76</v>
      </c>
      <c r="S1" s="359"/>
      <c r="T1" s="359"/>
      <c r="U1" s="359"/>
      <c r="V1" s="359"/>
      <c r="W1" s="359"/>
      <c r="X1" s="358"/>
      <c r="Y1" s="357" t="s">
        <v>72</v>
      </c>
      <c r="Z1" s="359"/>
      <c r="AA1" s="359"/>
      <c r="AB1" s="359"/>
      <c r="AC1" s="359"/>
      <c r="AD1" s="359"/>
      <c r="AE1" s="359"/>
      <c r="AF1" s="359"/>
      <c r="AG1" s="358"/>
      <c r="AH1" s="362" t="s">
        <v>300</v>
      </c>
      <c r="AI1" s="363"/>
      <c r="AJ1" s="363"/>
      <c r="AK1" s="363"/>
      <c r="AL1" s="363"/>
      <c r="AM1" s="363"/>
      <c r="AN1" s="364"/>
      <c r="AO1" s="357" t="s">
        <v>71</v>
      </c>
      <c r="AP1" s="359"/>
      <c r="AQ1" s="359"/>
      <c r="AR1" s="359"/>
      <c r="AS1" s="359"/>
      <c r="AT1" s="359"/>
      <c r="AU1" s="358"/>
      <c r="AV1" s="357" t="s">
        <v>299</v>
      </c>
      <c r="AW1" s="359"/>
      <c r="AX1" s="359"/>
      <c r="AY1" s="359"/>
      <c r="AZ1" s="359"/>
      <c r="BA1" s="359"/>
      <c r="BB1" s="358"/>
      <c r="BC1" s="357" t="s">
        <v>301</v>
      </c>
      <c r="BD1" s="359"/>
      <c r="BE1" s="359"/>
      <c r="BF1" s="359"/>
      <c r="BG1" s="359"/>
      <c r="BH1" s="359"/>
      <c r="BI1" s="358"/>
      <c r="BJ1" s="357" t="s">
        <v>302</v>
      </c>
      <c r="BK1" s="359"/>
      <c r="BL1" s="359"/>
      <c r="BM1" s="359"/>
      <c r="BN1" s="359"/>
      <c r="BO1" s="359"/>
      <c r="BP1" s="358"/>
      <c r="BQ1" s="357" t="s">
        <v>237</v>
      </c>
      <c r="BR1" s="359"/>
      <c r="BS1" s="359"/>
      <c r="BT1" s="359"/>
      <c r="BU1" s="358"/>
      <c r="BV1" s="360" t="s">
        <v>373</v>
      </c>
      <c r="BW1" s="360" t="s">
        <v>374</v>
      </c>
    </row>
    <row r="2" spans="1:75" s="133" customFormat="1" ht="45" customHeight="1" thickBot="1" x14ac:dyDescent="0.3">
      <c r="A2" s="332" t="s">
        <v>430</v>
      </c>
      <c r="B2" s="134" t="s">
        <v>0</v>
      </c>
      <c r="C2" s="135" t="s">
        <v>66</v>
      </c>
      <c r="D2" s="136" t="s">
        <v>67</v>
      </c>
      <c r="E2" s="137" t="s">
        <v>68</v>
      </c>
      <c r="F2" s="138" t="s">
        <v>319</v>
      </c>
      <c r="G2" s="157" t="s">
        <v>371</v>
      </c>
      <c r="H2" s="135" t="s">
        <v>66</v>
      </c>
      <c r="I2" s="136" t="s">
        <v>67</v>
      </c>
      <c r="J2" s="137" t="s">
        <v>68</v>
      </c>
      <c r="K2" s="138" t="s">
        <v>319</v>
      </c>
      <c r="L2" s="157" t="s">
        <v>371</v>
      </c>
      <c r="M2" s="135" t="s">
        <v>66</v>
      </c>
      <c r="N2" s="136" t="s">
        <v>67</v>
      </c>
      <c r="O2" s="137" t="s">
        <v>68</v>
      </c>
      <c r="P2" s="138" t="s">
        <v>319</v>
      </c>
      <c r="Q2" s="157" t="s">
        <v>371</v>
      </c>
      <c r="R2" s="135" t="s">
        <v>69</v>
      </c>
      <c r="S2" s="136" t="s">
        <v>70</v>
      </c>
      <c r="T2" s="136" t="s">
        <v>66</v>
      </c>
      <c r="U2" s="136" t="s">
        <v>67</v>
      </c>
      <c r="V2" s="137" t="s">
        <v>68</v>
      </c>
      <c r="W2" s="138" t="s">
        <v>319</v>
      </c>
      <c r="X2" s="157" t="s">
        <v>371</v>
      </c>
      <c r="Y2" s="135" t="s">
        <v>69</v>
      </c>
      <c r="Z2" s="136" t="s">
        <v>70</v>
      </c>
      <c r="AA2" s="136" t="s">
        <v>66</v>
      </c>
      <c r="AB2" s="136" t="s">
        <v>67</v>
      </c>
      <c r="AC2" s="137" t="s">
        <v>68</v>
      </c>
      <c r="AD2" s="135" t="s">
        <v>66</v>
      </c>
      <c r="AE2" s="138" t="s">
        <v>68</v>
      </c>
      <c r="AF2" s="138" t="s">
        <v>319</v>
      </c>
      <c r="AG2" s="157" t="s">
        <v>371</v>
      </c>
      <c r="AH2" s="295" t="s">
        <v>220</v>
      </c>
      <c r="AI2" s="235" t="s">
        <v>221</v>
      </c>
      <c r="AJ2" s="295" t="s">
        <v>222</v>
      </c>
      <c r="AK2" s="235" t="s">
        <v>223</v>
      </c>
      <c r="AL2" s="295" t="s">
        <v>224</v>
      </c>
      <c r="AM2" s="295" t="s">
        <v>433</v>
      </c>
      <c r="AN2" s="295" t="s">
        <v>434</v>
      </c>
      <c r="AO2" s="295" t="s">
        <v>220</v>
      </c>
      <c r="AP2" s="235" t="s">
        <v>221</v>
      </c>
      <c r="AQ2" s="295" t="s">
        <v>222</v>
      </c>
      <c r="AR2" s="235" t="s">
        <v>223</v>
      </c>
      <c r="AS2" s="295" t="s">
        <v>224</v>
      </c>
      <c r="AT2" s="295" t="s">
        <v>433</v>
      </c>
      <c r="AU2" s="295" t="s">
        <v>434</v>
      </c>
      <c r="AV2" s="295" t="s">
        <v>220</v>
      </c>
      <c r="AW2" s="235" t="s">
        <v>221</v>
      </c>
      <c r="AX2" s="295" t="s">
        <v>222</v>
      </c>
      <c r="AY2" s="235" t="s">
        <v>223</v>
      </c>
      <c r="AZ2" s="295" t="s">
        <v>224</v>
      </c>
      <c r="BA2" s="341" t="s">
        <v>433</v>
      </c>
      <c r="BB2" s="341" t="s">
        <v>434</v>
      </c>
      <c r="BC2" s="234" t="s">
        <v>220</v>
      </c>
      <c r="BD2" s="295" t="s">
        <v>221</v>
      </c>
      <c r="BE2" s="235" t="s">
        <v>222</v>
      </c>
      <c r="BF2" s="295" t="s">
        <v>223</v>
      </c>
      <c r="BG2" s="295" t="s">
        <v>224</v>
      </c>
      <c r="BH2" s="341" t="s">
        <v>433</v>
      </c>
      <c r="BI2" s="341" t="s">
        <v>434</v>
      </c>
      <c r="BJ2" s="234" t="s">
        <v>220</v>
      </c>
      <c r="BK2" s="295" t="s">
        <v>221</v>
      </c>
      <c r="BL2" s="235" t="s">
        <v>222</v>
      </c>
      <c r="BM2" s="295" t="s">
        <v>223</v>
      </c>
      <c r="BN2" s="295" t="s">
        <v>224</v>
      </c>
      <c r="BO2" s="295" t="s">
        <v>433</v>
      </c>
      <c r="BP2" s="295" t="s">
        <v>434</v>
      </c>
      <c r="BQ2" s="157" t="s">
        <v>227</v>
      </c>
      <c r="BR2" s="307" t="s">
        <v>228</v>
      </c>
      <c r="BS2" s="137" t="s">
        <v>229</v>
      </c>
      <c r="BT2" s="157" t="s">
        <v>353</v>
      </c>
      <c r="BU2" s="157" t="s">
        <v>371</v>
      </c>
      <c r="BV2" s="361"/>
      <c r="BW2" s="361"/>
    </row>
    <row r="3" spans="1:75" x14ac:dyDescent="0.25">
      <c r="A3" s="10">
        <v>2</v>
      </c>
      <c r="B3" s="33" t="s">
        <v>2</v>
      </c>
      <c r="C3" s="34">
        <v>1</v>
      </c>
      <c r="D3" s="35">
        <v>1</v>
      </c>
      <c r="E3" s="35">
        <v>1</v>
      </c>
      <c r="F3" s="93">
        <v>1</v>
      </c>
      <c r="G3" s="36">
        <v>2</v>
      </c>
      <c r="H3" s="34">
        <v>34</v>
      </c>
      <c r="I3" s="35">
        <v>33</v>
      </c>
      <c r="J3" s="35">
        <v>32</v>
      </c>
      <c r="K3" s="93">
        <v>18</v>
      </c>
      <c r="L3" s="36">
        <v>28</v>
      </c>
      <c r="M3" s="34">
        <v>1</v>
      </c>
      <c r="N3" s="35">
        <v>1</v>
      </c>
      <c r="O3" s="35">
        <v>1</v>
      </c>
      <c r="P3" s="93">
        <v>2</v>
      </c>
      <c r="Q3" s="36">
        <v>4</v>
      </c>
      <c r="R3" s="34">
        <v>0</v>
      </c>
      <c r="S3" s="35">
        <v>0</v>
      </c>
      <c r="T3" s="35">
        <v>0</v>
      </c>
      <c r="U3" s="35">
        <v>0</v>
      </c>
      <c r="V3" s="35">
        <v>0</v>
      </c>
      <c r="W3" s="93">
        <v>0</v>
      </c>
      <c r="X3" s="36">
        <v>0</v>
      </c>
      <c r="Y3" s="34"/>
      <c r="Z3" s="35" t="s">
        <v>77</v>
      </c>
      <c r="AA3" s="35" t="s">
        <v>79</v>
      </c>
      <c r="AB3" s="93" t="s">
        <v>78</v>
      </c>
      <c r="AC3" s="35" t="s">
        <v>78</v>
      </c>
      <c r="AD3" s="147">
        <v>0.89</v>
      </c>
      <c r="AE3" s="35">
        <v>1.1299999999999999</v>
      </c>
      <c r="AF3" s="154" t="s">
        <v>78</v>
      </c>
      <c r="AG3" s="90" t="s">
        <v>429</v>
      </c>
      <c r="AH3" s="38"/>
      <c r="AI3" s="39"/>
      <c r="AJ3" s="39">
        <v>5681</v>
      </c>
      <c r="AK3" s="39">
        <v>7775</v>
      </c>
      <c r="AL3" s="39">
        <v>5945</v>
      </c>
      <c r="AM3" s="344">
        <v>5701.36</v>
      </c>
      <c r="AN3" s="345">
        <v>6543</v>
      </c>
      <c r="AO3" s="38"/>
      <c r="AP3" s="39"/>
      <c r="AQ3" s="39">
        <v>99.7</v>
      </c>
      <c r="AR3" s="39">
        <v>33.29</v>
      </c>
      <c r="AS3" s="39">
        <v>257.83</v>
      </c>
      <c r="AT3" s="344">
        <v>126.89</v>
      </c>
      <c r="AU3" s="345">
        <v>45</v>
      </c>
      <c r="AV3" s="41"/>
      <c r="AW3" s="42"/>
      <c r="AX3" s="42">
        <f t="shared" ref="AX3:BB4" si="0">AQ3/AJ3</f>
        <v>1.7549727160711143E-2</v>
      </c>
      <c r="AY3" s="42">
        <f t="shared" si="0"/>
        <v>4.2816720257234722E-3</v>
      </c>
      <c r="AZ3" s="42">
        <f t="shared" si="0"/>
        <v>4.336921783010933E-2</v>
      </c>
      <c r="BA3" s="183">
        <f t="shared" si="0"/>
        <v>2.2256093283006161E-2</v>
      </c>
      <c r="BB3" s="43">
        <f t="shared" si="0"/>
        <v>6.8775790921595595E-3</v>
      </c>
      <c r="BC3" s="41" t="s">
        <v>226</v>
      </c>
      <c r="BD3" s="44"/>
      <c r="BE3" s="44"/>
      <c r="BF3" s="44"/>
      <c r="BG3" s="44"/>
      <c r="BH3" s="184"/>
      <c r="BI3" s="45"/>
      <c r="BJ3" s="34" t="s">
        <v>226</v>
      </c>
      <c r="BK3" s="46"/>
      <c r="BL3" s="46"/>
      <c r="BM3" s="46">
        <f t="shared" ref="BM3" si="1">(AY3-AX3)*100</f>
        <v>-1.3268055134987671</v>
      </c>
      <c r="BN3" s="46">
        <f>(AZ3-AY3)*100</f>
        <v>3.9087545804385857</v>
      </c>
      <c r="BO3" s="342">
        <f>(BA3-AZ3)*100</f>
        <v>-2.1113124547103168</v>
      </c>
      <c r="BP3" s="343">
        <f t="shared" ref="BP3" si="2">(BB3-BA3)*100</f>
        <v>-1.5378514190846602</v>
      </c>
      <c r="BQ3" s="41">
        <f t="shared" ref="BQ3:BR3" si="3">T3/M3</f>
        <v>0</v>
      </c>
      <c r="BR3" s="42">
        <f t="shared" si="3"/>
        <v>0</v>
      </c>
      <c r="BS3" s="42">
        <f>V3/O3</f>
        <v>0</v>
      </c>
      <c r="BT3" s="183">
        <f>W3/P3</f>
        <v>0</v>
      </c>
      <c r="BU3" s="183">
        <f t="shared" ref="BU3:BU4" si="4">X3/Q3</f>
        <v>0</v>
      </c>
      <c r="BV3" s="416"/>
      <c r="BW3" s="416">
        <f t="shared" ref="BW3" si="5">(Q3-P3)/P3</f>
        <v>1</v>
      </c>
    </row>
    <row r="4" spans="1:75" x14ac:dyDescent="0.25">
      <c r="A4" s="10">
        <v>5</v>
      </c>
      <c r="B4" s="33" t="s">
        <v>417</v>
      </c>
      <c r="C4" s="34"/>
      <c r="D4" s="35"/>
      <c r="E4" s="35"/>
      <c r="F4" s="93"/>
      <c r="G4" s="36">
        <v>0</v>
      </c>
      <c r="H4" s="34"/>
      <c r="I4" s="35"/>
      <c r="J4" s="35"/>
      <c r="K4" s="93"/>
      <c r="L4" s="36">
        <v>28</v>
      </c>
      <c r="M4" s="34"/>
      <c r="N4" s="35"/>
      <c r="O4" s="35"/>
      <c r="P4" s="93"/>
      <c r="Q4" s="36">
        <v>7</v>
      </c>
      <c r="R4" s="34"/>
      <c r="S4" s="35"/>
      <c r="T4" s="35"/>
      <c r="U4" s="35"/>
      <c r="V4" s="35"/>
      <c r="W4" s="93"/>
      <c r="X4" s="36">
        <v>1</v>
      </c>
      <c r="Y4" s="34"/>
      <c r="Z4" s="35"/>
      <c r="AA4" s="35"/>
      <c r="AB4" s="93"/>
      <c r="AC4" s="35"/>
      <c r="AD4" s="147"/>
      <c r="AE4" s="35"/>
      <c r="AF4" s="154"/>
      <c r="AG4" s="90" t="s">
        <v>428</v>
      </c>
      <c r="AH4" s="38"/>
      <c r="AI4" s="39"/>
      <c r="AJ4" s="39"/>
      <c r="AK4" s="39"/>
      <c r="AL4" s="39"/>
      <c r="AM4" s="182"/>
      <c r="AN4" s="40">
        <v>3200.21</v>
      </c>
      <c r="AO4" s="38"/>
      <c r="AP4" s="39"/>
      <c r="AQ4" s="39"/>
      <c r="AR4" s="39"/>
      <c r="AS4" s="39"/>
      <c r="AT4" s="182"/>
      <c r="AU4" s="40">
        <v>1390.94</v>
      </c>
      <c r="AV4" s="41"/>
      <c r="AW4" s="42"/>
      <c r="AX4" s="42"/>
      <c r="AY4" s="42"/>
      <c r="AZ4" s="42"/>
      <c r="BA4" s="183"/>
      <c r="BB4" s="43">
        <f t="shared" si="0"/>
        <v>0.43464022673512054</v>
      </c>
      <c r="BC4" s="41"/>
      <c r="BD4" s="44"/>
      <c r="BE4" s="44"/>
      <c r="BF4" s="44"/>
      <c r="BG4" s="44"/>
      <c r="BH4" s="184"/>
      <c r="BI4" s="45"/>
      <c r="BJ4" s="34"/>
      <c r="BK4" s="46"/>
      <c r="BL4" s="46"/>
      <c r="BM4" s="46"/>
      <c r="BN4" s="46"/>
      <c r="BO4" s="185"/>
      <c r="BP4" s="47"/>
      <c r="BQ4" s="41"/>
      <c r="BR4" s="42"/>
      <c r="BS4" s="42"/>
      <c r="BT4" s="183"/>
      <c r="BU4" s="183">
        <f t="shared" si="4"/>
        <v>0.14285714285714285</v>
      </c>
      <c r="BV4" s="48"/>
      <c r="BW4" s="48"/>
    </row>
    <row r="5" spans="1:75" x14ac:dyDescent="0.25">
      <c r="A5" s="10">
        <v>15</v>
      </c>
      <c r="B5" s="33" t="s">
        <v>235</v>
      </c>
      <c r="C5" s="34">
        <v>1</v>
      </c>
      <c r="D5" s="35">
        <v>1</v>
      </c>
      <c r="E5" s="93">
        <v>1</v>
      </c>
      <c r="F5" s="93"/>
      <c r="G5" s="93"/>
      <c r="H5" s="34">
        <v>17</v>
      </c>
      <c r="I5" s="35">
        <v>17</v>
      </c>
      <c r="J5" s="93">
        <v>17</v>
      </c>
      <c r="K5" s="93"/>
      <c r="L5" s="36"/>
      <c r="M5" s="34">
        <v>0</v>
      </c>
      <c r="N5" s="35">
        <v>0</v>
      </c>
      <c r="O5" s="93">
        <v>1</v>
      </c>
      <c r="P5" s="93"/>
      <c r="Q5" s="36"/>
      <c r="R5" s="34">
        <v>0</v>
      </c>
      <c r="S5" s="35">
        <v>0</v>
      </c>
      <c r="T5" s="35">
        <v>0</v>
      </c>
      <c r="U5" s="35">
        <v>0</v>
      </c>
      <c r="V5" s="93">
        <v>0</v>
      </c>
      <c r="W5" s="93"/>
      <c r="X5" s="36"/>
      <c r="Y5" s="34">
        <v>21.8</v>
      </c>
      <c r="Z5" s="35">
        <v>23.06</v>
      </c>
      <c r="AA5" s="35">
        <v>23.27</v>
      </c>
      <c r="AB5" s="35">
        <v>22.77</v>
      </c>
      <c r="AC5" s="35">
        <v>22.77</v>
      </c>
      <c r="AD5" s="35"/>
      <c r="AE5" s="35"/>
      <c r="AF5" s="35"/>
      <c r="AG5" s="36"/>
      <c r="AH5" s="38">
        <v>5236</v>
      </c>
      <c r="AI5" s="39">
        <v>5428</v>
      </c>
      <c r="AJ5" s="39">
        <v>5436</v>
      </c>
      <c r="AK5" s="39">
        <v>5914</v>
      </c>
      <c r="AL5" s="182">
        <v>5871</v>
      </c>
      <c r="AM5" s="39"/>
      <c r="AN5" s="40"/>
      <c r="AO5" s="38">
        <v>0</v>
      </c>
      <c r="AP5" s="39">
        <v>0</v>
      </c>
      <c r="AQ5" s="39">
        <v>0</v>
      </c>
      <c r="AR5" s="39">
        <v>0</v>
      </c>
      <c r="AS5" s="182">
        <v>231</v>
      </c>
      <c r="AT5" s="182"/>
      <c r="AU5" s="40"/>
      <c r="AV5" s="41">
        <f t="shared" ref="AV5:AZ6" si="6">AO5/AH5</f>
        <v>0</v>
      </c>
      <c r="AW5" s="42">
        <f t="shared" si="6"/>
        <v>0</v>
      </c>
      <c r="AX5" s="42">
        <f t="shared" si="6"/>
        <v>0</v>
      </c>
      <c r="AY5" s="42">
        <f t="shared" si="6"/>
        <v>0</v>
      </c>
      <c r="AZ5" s="183">
        <f t="shared" si="6"/>
        <v>3.9345937659683188E-2</v>
      </c>
      <c r="BA5" s="183"/>
      <c r="BB5" s="183"/>
      <c r="BC5" s="41" t="s">
        <v>226</v>
      </c>
      <c r="BD5" s="44">
        <f t="shared" ref="BD5:BG6" si="7">(AW5-$AV5)*100</f>
        <v>0</v>
      </c>
      <c r="BE5" s="44">
        <f t="shared" si="7"/>
        <v>0</v>
      </c>
      <c r="BF5" s="44">
        <f t="shared" si="7"/>
        <v>0</v>
      </c>
      <c r="BG5" s="184">
        <f t="shared" si="7"/>
        <v>3.9345937659683186</v>
      </c>
      <c r="BH5" s="184"/>
      <c r="BI5" s="184"/>
      <c r="BJ5" s="34" t="s">
        <v>226</v>
      </c>
      <c r="BK5" s="46">
        <f t="shared" ref="BK5:BN10" si="8">(AW5-AV5)*100</f>
        <v>0</v>
      </c>
      <c r="BL5" s="46">
        <f t="shared" si="8"/>
        <v>0</v>
      </c>
      <c r="BM5" s="46">
        <f t="shared" si="8"/>
        <v>0</v>
      </c>
      <c r="BN5" s="185">
        <f t="shared" si="8"/>
        <v>3.9345937659683186</v>
      </c>
      <c r="BO5" s="185"/>
      <c r="BP5" s="185"/>
      <c r="BQ5" s="41"/>
      <c r="BR5" s="42"/>
      <c r="BS5" s="183">
        <f>V5/O5</f>
        <v>0</v>
      </c>
      <c r="BT5" s="183"/>
      <c r="BU5" s="183"/>
      <c r="BV5" s="48"/>
      <c r="BW5" s="48"/>
    </row>
    <row r="6" spans="1:75" x14ac:dyDescent="0.25">
      <c r="A6" s="10">
        <v>15</v>
      </c>
      <c r="B6" s="33" t="s">
        <v>236</v>
      </c>
      <c r="C6" s="34">
        <v>3</v>
      </c>
      <c r="D6" s="35">
        <v>3</v>
      </c>
      <c r="E6" s="93">
        <v>3</v>
      </c>
      <c r="F6" s="93"/>
      <c r="G6" s="93"/>
      <c r="H6" s="34">
        <v>41</v>
      </c>
      <c r="I6" s="35">
        <v>42</v>
      </c>
      <c r="J6" s="93">
        <v>44</v>
      </c>
      <c r="K6" s="93"/>
      <c r="L6" s="36"/>
      <c r="M6" s="34"/>
      <c r="N6" s="35"/>
      <c r="O6" s="93"/>
      <c r="P6" s="93"/>
      <c r="Q6" s="36"/>
      <c r="R6" s="34">
        <v>0</v>
      </c>
      <c r="S6" s="35">
        <v>0</v>
      </c>
      <c r="T6" s="35">
        <v>0</v>
      </c>
      <c r="U6" s="35">
        <v>0</v>
      </c>
      <c r="V6" s="93">
        <v>0</v>
      </c>
      <c r="W6" s="93"/>
      <c r="X6" s="36"/>
      <c r="Y6" s="34" t="s">
        <v>115</v>
      </c>
      <c r="Z6" s="35" t="s">
        <v>230</v>
      </c>
      <c r="AA6" s="35" t="s">
        <v>230</v>
      </c>
      <c r="AB6" s="35" t="s">
        <v>230</v>
      </c>
      <c r="AC6" s="35" t="s">
        <v>230</v>
      </c>
      <c r="AD6" s="35">
        <v>0.4</v>
      </c>
      <c r="AE6" s="35">
        <v>0.4</v>
      </c>
      <c r="AF6" s="35"/>
      <c r="AG6" s="36"/>
      <c r="AH6" s="38">
        <v>4567</v>
      </c>
      <c r="AI6" s="39">
        <v>6562</v>
      </c>
      <c r="AJ6" s="39">
        <v>7867</v>
      </c>
      <c r="AK6" s="39">
        <v>7800</v>
      </c>
      <c r="AL6" s="182">
        <v>7782</v>
      </c>
      <c r="AM6" s="39"/>
      <c r="AN6" s="40"/>
      <c r="AO6" s="38">
        <v>632</v>
      </c>
      <c r="AP6" s="39">
        <v>427</v>
      </c>
      <c r="AQ6" s="39">
        <v>726</v>
      </c>
      <c r="AR6" s="39">
        <v>582</v>
      </c>
      <c r="AS6" s="182">
        <v>1095</v>
      </c>
      <c r="AT6" s="182"/>
      <c r="AU6" s="40"/>
      <c r="AV6" s="41">
        <f t="shared" si="6"/>
        <v>0.13838405955769653</v>
      </c>
      <c r="AW6" s="42">
        <f t="shared" si="6"/>
        <v>6.5071624504724174E-2</v>
      </c>
      <c r="AX6" s="42">
        <f t="shared" si="6"/>
        <v>9.2284225244693027E-2</v>
      </c>
      <c r="AY6" s="42">
        <f t="shared" si="6"/>
        <v>7.4615384615384611E-2</v>
      </c>
      <c r="AZ6" s="183">
        <f t="shared" si="6"/>
        <v>0.14070932922127988</v>
      </c>
      <c r="BA6" s="183"/>
      <c r="BB6" s="183"/>
      <c r="BC6" s="41" t="s">
        <v>226</v>
      </c>
      <c r="BD6" s="44">
        <f t="shared" si="7"/>
        <v>-7.3312435052972358</v>
      </c>
      <c r="BE6" s="44">
        <f t="shared" si="7"/>
        <v>-4.6099834313003507</v>
      </c>
      <c r="BF6" s="44">
        <f t="shared" si="7"/>
        <v>-6.3768674942311918</v>
      </c>
      <c r="BG6" s="184">
        <f t="shared" si="7"/>
        <v>0.23252696635833459</v>
      </c>
      <c r="BH6" s="184"/>
      <c r="BI6" s="184">
        <f t="shared" ref="BI6:BI14" si="9">(BB6-$AV6)*100</f>
        <v>-13.838405955769653</v>
      </c>
      <c r="BJ6" s="34" t="s">
        <v>226</v>
      </c>
      <c r="BK6" s="46">
        <f t="shared" si="8"/>
        <v>-7.3312435052972358</v>
      </c>
      <c r="BL6" s="46">
        <f t="shared" si="8"/>
        <v>2.7212600739968855</v>
      </c>
      <c r="BM6" s="46">
        <f t="shared" si="8"/>
        <v>-1.7668840629308415</v>
      </c>
      <c r="BN6" s="185">
        <f t="shared" si="8"/>
        <v>6.6093944605895265</v>
      </c>
      <c r="BO6" s="185"/>
      <c r="BP6" s="185"/>
      <c r="BQ6" s="41"/>
      <c r="BR6" s="42"/>
      <c r="BS6" s="183"/>
      <c r="BT6" s="183"/>
      <c r="BU6" s="183"/>
      <c r="BV6" s="48"/>
      <c r="BW6" s="48"/>
    </row>
    <row r="7" spans="1:75" x14ac:dyDescent="0.25">
      <c r="A7" s="10">
        <v>24</v>
      </c>
      <c r="B7" s="33" t="s">
        <v>129</v>
      </c>
      <c r="C7" s="34">
        <v>0</v>
      </c>
      <c r="D7" s="35">
        <v>0</v>
      </c>
      <c r="E7" s="35">
        <v>0</v>
      </c>
      <c r="F7" s="93">
        <v>0</v>
      </c>
      <c r="G7" s="36">
        <v>0</v>
      </c>
      <c r="H7" s="34">
        <v>37</v>
      </c>
      <c r="I7" s="35">
        <v>35</v>
      </c>
      <c r="J7" s="35">
        <v>36</v>
      </c>
      <c r="K7" s="93">
        <v>36</v>
      </c>
      <c r="L7" s="36">
        <v>34</v>
      </c>
      <c r="M7" s="34">
        <v>11</v>
      </c>
      <c r="N7" s="35">
        <v>11</v>
      </c>
      <c r="O7" s="35">
        <v>10</v>
      </c>
      <c r="P7" s="93">
        <v>17</v>
      </c>
      <c r="Q7" s="36">
        <v>6</v>
      </c>
      <c r="R7" s="34">
        <v>0</v>
      </c>
      <c r="S7" s="35">
        <v>0</v>
      </c>
      <c r="T7" s="35">
        <v>0</v>
      </c>
      <c r="U7" s="35">
        <v>0</v>
      </c>
      <c r="V7" s="35">
        <v>0</v>
      </c>
      <c r="W7" s="93">
        <v>0</v>
      </c>
      <c r="X7" s="36">
        <v>0</v>
      </c>
      <c r="Y7" s="34" t="s">
        <v>126</v>
      </c>
      <c r="Z7" s="35" t="s">
        <v>91</v>
      </c>
      <c r="AA7" s="35" t="s">
        <v>83</v>
      </c>
      <c r="AB7" s="93" t="s">
        <v>83</v>
      </c>
      <c r="AC7" s="35" t="s">
        <v>83</v>
      </c>
      <c r="AD7" s="147"/>
      <c r="AE7" s="35"/>
      <c r="AF7" s="154" t="s">
        <v>142</v>
      </c>
      <c r="AG7" s="154" t="s">
        <v>427</v>
      </c>
      <c r="AH7" s="38">
        <v>3723</v>
      </c>
      <c r="AI7" s="39">
        <v>5351</v>
      </c>
      <c r="AJ7" s="39">
        <v>7187</v>
      </c>
      <c r="AK7" s="39">
        <v>7176</v>
      </c>
      <c r="AL7" s="39">
        <v>7003</v>
      </c>
      <c r="AM7" s="182">
        <v>7713</v>
      </c>
      <c r="AN7" s="40">
        <v>7596</v>
      </c>
      <c r="AO7" s="38">
        <v>152</v>
      </c>
      <c r="AP7" s="39">
        <v>331</v>
      </c>
      <c r="AQ7" s="39">
        <v>493</v>
      </c>
      <c r="AR7" s="39">
        <v>321</v>
      </c>
      <c r="AS7" s="39">
        <v>1352</v>
      </c>
      <c r="AT7" s="182">
        <v>2318</v>
      </c>
      <c r="AU7" s="40">
        <v>1083</v>
      </c>
      <c r="AV7" s="41">
        <f t="shared" ref="AV7:BA7" si="10">AO7/AH7</f>
        <v>4.0827289820037603E-2</v>
      </c>
      <c r="AW7" s="42">
        <f t="shared" si="10"/>
        <v>6.1857596710895163E-2</v>
      </c>
      <c r="AX7" s="42">
        <f t="shared" si="10"/>
        <v>6.8596076248782528E-2</v>
      </c>
      <c r="AY7" s="42">
        <f t="shared" si="10"/>
        <v>4.4732441471571904E-2</v>
      </c>
      <c r="AZ7" s="42">
        <f t="shared" si="10"/>
        <v>0.19306011709267457</v>
      </c>
      <c r="BA7" s="183">
        <f t="shared" si="10"/>
        <v>0.30053157007649423</v>
      </c>
      <c r="BB7" s="43">
        <f t="shared" ref="BB7:BB46" si="11">AU7/AN7</f>
        <v>0.14257503949447078</v>
      </c>
      <c r="BC7" s="41" t="s">
        <v>226</v>
      </c>
      <c r="BD7" s="44">
        <f t="shared" ref="BD7:BF7" si="12">(AW7-$AV7)*100</f>
        <v>2.103030689085756</v>
      </c>
      <c r="BE7" s="44">
        <f t="shared" si="12"/>
        <v>2.7768786428744927</v>
      </c>
      <c r="BF7" s="44">
        <f t="shared" si="12"/>
        <v>0.3905151651534301</v>
      </c>
      <c r="BG7" s="44">
        <f>(AZ7-$AV7)*100</f>
        <v>15.223282727263696</v>
      </c>
      <c r="BH7" s="184">
        <f t="shared" ref="BH7" si="13">(BA7-$AV7)*100</f>
        <v>25.970428025645663</v>
      </c>
      <c r="BI7" s="45">
        <f t="shared" si="9"/>
        <v>10.174774967443318</v>
      </c>
      <c r="BJ7" s="34" t="s">
        <v>226</v>
      </c>
      <c r="BK7" s="46">
        <f t="shared" ref="BK7:BM7" si="14">(AW7-AV7)*100</f>
        <v>2.103030689085756</v>
      </c>
      <c r="BL7" s="46">
        <f t="shared" si="14"/>
        <v>0.67384795378873652</v>
      </c>
      <c r="BM7" s="46">
        <f t="shared" si="14"/>
        <v>-2.3863634777210625</v>
      </c>
      <c r="BN7" s="46">
        <f>(AZ7-AY7)*100</f>
        <v>14.832767562110266</v>
      </c>
      <c r="BO7" s="185">
        <f t="shared" ref="BO7" si="15">(BA7-AZ7)*100</f>
        <v>10.747145298381966</v>
      </c>
      <c r="BP7" s="47">
        <f t="shared" ref="BP7:BP23" si="16">(BB7-BA7)*100</f>
        <v>-15.795653058202344</v>
      </c>
      <c r="BQ7" s="41">
        <f t="shared" ref="BQ7:BR7" si="17">T7/M7</f>
        <v>0</v>
      </c>
      <c r="BR7" s="42">
        <f t="shared" si="17"/>
        <v>0</v>
      </c>
      <c r="BS7" s="42">
        <f>V7/O7</f>
        <v>0</v>
      </c>
      <c r="BT7" s="183">
        <f t="shared" ref="BT7" si="18">W7/P7</f>
        <v>0</v>
      </c>
      <c r="BU7" s="183">
        <f t="shared" ref="BU7:BU46" si="19">X7/Q7</f>
        <v>0</v>
      </c>
      <c r="BV7" s="48"/>
      <c r="BW7" s="48">
        <f t="shared" ref="BW5:BW23" si="20">(Q7-P7)/P7</f>
        <v>-0.6470588235294118</v>
      </c>
    </row>
    <row r="8" spans="1:75" x14ac:dyDescent="0.25">
      <c r="A8" s="10">
        <v>25</v>
      </c>
      <c r="B8" s="33" t="s">
        <v>139</v>
      </c>
      <c r="C8" s="34">
        <v>0</v>
      </c>
      <c r="D8" s="35">
        <v>0</v>
      </c>
      <c r="E8" s="35">
        <v>0</v>
      </c>
      <c r="F8" s="93"/>
      <c r="G8" s="36">
        <v>0</v>
      </c>
      <c r="H8" s="34">
        <v>20</v>
      </c>
      <c r="I8" s="35">
        <v>20</v>
      </c>
      <c r="J8" s="35">
        <v>20</v>
      </c>
      <c r="K8" s="93"/>
      <c r="L8" s="36">
        <v>22</v>
      </c>
      <c r="M8" s="34">
        <v>2</v>
      </c>
      <c r="N8" s="35">
        <v>4</v>
      </c>
      <c r="O8" s="35">
        <v>5</v>
      </c>
      <c r="P8" s="93"/>
      <c r="Q8" s="36">
        <v>7</v>
      </c>
      <c r="R8" s="34">
        <v>0</v>
      </c>
      <c r="S8" s="35">
        <v>0</v>
      </c>
      <c r="T8" s="35">
        <v>0</v>
      </c>
      <c r="U8" s="35">
        <v>0</v>
      </c>
      <c r="V8" s="35">
        <v>0</v>
      </c>
      <c r="W8" s="93"/>
      <c r="X8" s="36">
        <v>0</v>
      </c>
      <c r="Y8" s="34" t="s">
        <v>93</v>
      </c>
      <c r="Z8" s="35" t="s">
        <v>81</v>
      </c>
      <c r="AA8" s="35" t="s">
        <v>95</v>
      </c>
      <c r="AB8" s="93" t="s">
        <v>136</v>
      </c>
      <c r="AC8" s="35" t="s">
        <v>136</v>
      </c>
      <c r="AD8" s="147">
        <v>0.75</v>
      </c>
      <c r="AE8" s="35">
        <v>0.86</v>
      </c>
      <c r="AF8" s="154"/>
      <c r="AG8" s="90" t="s">
        <v>426</v>
      </c>
      <c r="AH8" s="38">
        <v>2740.22</v>
      </c>
      <c r="AI8" s="39">
        <v>3798.95</v>
      </c>
      <c r="AJ8" s="39">
        <v>4565.0600000000004</v>
      </c>
      <c r="AK8" s="39">
        <v>5430.96</v>
      </c>
      <c r="AL8" s="39">
        <v>5437.78</v>
      </c>
      <c r="AM8" s="182"/>
      <c r="AN8" s="40">
        <v>8266.01</v>
      </c>
      <c r="AO8" s="38"/>
      <c r="AP8" s="39"/>
      <c r="AQ8" s="39">
        <v>250.67</v>
      </c>
      <c r="AR8" s="39">
        <v>769.84</v>
      </c>
      <c r="AS8" s="39">
        <v>1193.51</v>
      </c>
      <c r="AT8" s="182"/>
      <c r="AU8" s="40">
        <v>981.43</v>
      </c>
      <c r="AV8" s="41">
        <f t="shared" ref="AV8:AZ8" si="21">AO8/AH8</f>
        <v>0</v>
      </c>
      <c r="AW8" s="42">
        <f t="shared" si="21"/>
        <v>0</v>
      </c>
      <c r="AX8" s="42">
        <f t="shared" si="21"/>
        <v>5.4910559773584569E-2</v>
      </c>
      <c r="AY8" s="42">
        <f t="shared" si="21"/>
        <v>0.14175026146390327</v>
      </c>
      <c r="AZ8" s="42">
        <f t="shared" si="21"/>
        <v>0.21948478974875776</v>
      </c>
      <c r="BA8" s="183"/>
      <c r="BB8" s="43">
        <f t="shared" si="11"/>
        <v>0.11873080240648147</v>
      </c>
      <c r="BC8" s="41" t="s">
        <v>226</v>
      </c>
      <c r="BD8" s="44"/>
      <c r="BE8" s="44"/>
      <c r="BF8" s="44"/>
      <c r="BG8" s="44"/>
      <c r="BH8" s="184"/>
      <c r="BI8" s="45"/>
      <c r="BJ8" s="34" t="s">
        <v>226</v>
      </c>
      <c r="BK8" s="46"/>
      <c r="BL8" s="46"/>
      <c r="BM8" s="46">
        <f t="shared" ref="BM8" si="22">(AY8-AX8)*100</f>
        <v>8.6839701690318698</v>
      </c>
      <c r="BN8" s="46">
        <f>(AZ8-AY8)*100</f>
        <v>7.7734528284854498</v>
      </c>
      <c r="BO8" s="185"/>
      <c r="BP8" s="47"/>
      <c r="BQ8" s="41">
        <f t="shared" ref="BQ8:BR8" si="23">T8/M8</f>
        <v>0</v>
      </c>
      <c r="BR8" s="42">
        <f t="shared" si="23"/>
        <v>0</v>
      </c>
      <c r="BS8" s="42">
        <f>V8/O8</f>
        <v>0</v>
      </c>
      <c r="BT8" s="183"/>
      <c r="BU8" s="183">
        <f t="shared" si="19"/>
        <v>0</v>
      </c>
      <c r="BV8" s="48"/>
      <c r="BW8" s="48"/>
    </row>
    <row r="9" spans="1:75" x14ac:dyDescent="0.25">
      <c r="A9" s="10">
        <v>25</v>
      </c>
      <c r="B9" s="33" t="s">
        <v>257</v>
      </c>
      <c r="C9" s="34">
        <v>1</v>
      </c>
      <c r="D9" s="35">
        <v>1</v>
      </c>
      <c r="E9" s="93">
        <v>1</v>
      </c>
      <c r="F9" s="93"/>
      <c r="G9" s="93"/>
      <c r="H9" s="34">
        <v>8</v>
      </c>
      <c r="I9" s="35">
        <v>8</v>
      </c>
      <c r="J9" s="93">
        <v>8</v>
      </c>
      <c r="K9" s="93"/>
      <c r="L9" s="36"/>
      <c r="M9" s="34"/>
      <c r="N9" s="35"/>
      <c r="O9" s="93"/>
      <c r="P9" s="93"/>
      <c r="Q9" s="36"/>
      <c r="R9" s="34"/>
      <c r="S9" s="35"/>
      <c r="T9" s="35"/>
      <c r="U9" s="35"/>
      <c r="V9" s="93"/>
      <c r="W9" s="93"/>
      <c r="X9" s="36"/>
      <c r="Y9" s="34" t="s">
        <v>99</v>
      </c>
      <c r="Z9" s="35" t="s">
        <v>100</v>
      </c>
      <c r="AA9" s="35" t="s">
        <v>100</v>
      </c>
      <c r="AB9" s="35" t="s">
        <v>101</v>
      </c>
      <c r="AC9" s="35" t="s">
        <v>101</v>
      </c>
      <c r="AD9" s="35">
        <v>0.78</v>
      </c>
      <c r="AE9" s="35">
        <v>0.9</v>
      </c>
      <c r="AF9" s="35"/>
      <c r="AG9" s="36"/>
      <c r="AH9" s="38">
        <v>1225.3499999999999</v>
      </c>
      <c r="AI9" s="39">
        <v>1600.53</v>
      </c>
      <c r="AJ9" s="39">
        <v>1978.76</v>
      </c>
      <c r="AK9" s="39">
        <v>1978.76</v>
      </c>
      <c r="AL9" s="182">
        <v>2283.12</v>
      </c>
      <c r="AM9" s="39"/>
      <c r="AN9" s="40"/>
      <c r="AO9" s="38"/>
      <c r="AP9" s="39"/>
      <c r="AQ9" s="39"/>
      <c r="AR9" s="39"/>
      <c r="AS9" s="182"/>
      <c r="AT9" s="182"/>
      <c r="AU9" s="40"/>
      <c r="AV9" s="41">
        <f t="shared" ref="AV9:AZ10" si="24">AO9/AH9</f>
        <v>0</v>
      </c>
      <c r="AW9" s="42">
        <f t="shared" si="24"/>
        <v>0</v>
      </c>
      <c r="AX9" s="42">
        <f t="shared" si="24"/>
        <v>0</v>
      </c>
      <c r="AY9" s="42">
        <f t="shared" si="24"/>
        <v>0</v>
      </c>
      <c r="AZ9" s="183">
        <f t="shared" si="24"/>
        <v>0</v>
      </c>
      <c r="BA9" s="183"/>
      <c r="BB9" s="183"/>
      <c r="BC9" s="41" t="s">
        <v>226</v>
      </c>
      <c r="BD9" s="44"/>
      <c r="BE9" s="44"/>
      <c r="BF9" s="44"/>
      <c r="BG9" s="184"/>
      <c r="BH9" s="184"/>
      <c r="BI9" s="184"/>
      <c r="BJ9" s="34" t="s">
        <v>226</v>
      </c>
      <c r="BK9" s="46"/>
      <c r="BL9" s="46"/>
      <c r="BM9" s="46"/>
      <c r="BN9" s="185"/>
      <c r="BO9" s="185"/>
      <c r="BP9" s="185"/>
      <c r="BQ9" s="41"/>
      <c r="BR9" s="42"/>
      <c r="BS9" s="183"/>
      <c r="BT9" s="183"/>
      <c r="BU9" s="183"/>
      <c r="BV9" s="48"/>
      <c r="BW9" s="48"/>
    </row>
    <row r="10" spans="1:75" x14ac:dyDescent="0.25">
      <c r="A10" s="10">
        <v>25</v>
      </c>
      <c r="B10" s="33" t="s">
        <v>258</v>
      </c>
      <c r="C10" s="34">
        <v>0</v>
      </c>
      <c r="D10" s="35">
        <v>0</v>
      </c>
      <c r="E10" s="93">
        <v>0</v>
      </c>
      <c r="F10" s="93"/>
      <c r="G10" s="93"/>
      <c r="H10" s="34">
        <v>27</v>
      </c>
      <c r="I10" s="35">
        <v>26</v>
      </c>
      <c r="J10" s="93">
        <v>26</v>
      </c>
      <c r="K10" s="93"/>
      <c r="L10" s="36"/>
      <c r="M10" s="34">
        <v>10</v>
      </c>
      <c r="N10" s="35">
        <v>10</v>
      </c>
      <c r="O10" s="93">
        <v>8</v>
      </c>
      <c r="P10" s="93"/>
      <c r="Q10" s="36"/>
      <c r="R10" s="34"/>
      <c r="S10" s="35"/>
      <c r="T10" s="35"/>
      <c r="U10" s="35"/>
      <c r="V10" s="93"/>
      <c r="W10" s="93"/>
      <c r="X10" s="36"/>
      <c r="Y10" s="34" t="s">
        <v>102</v>
      </c>
      <c r="Z10" s="35" t="s">
        <v>102</v>
      </c>
      <c r="AA10" s="35" t="s">
        <v>101</v>
      </c>
      <c r="AB10" s="35" t="s">
        <v>101</v>
      </c>
      <c r="AC10" s="35" t="s">
        <v>101</v>
      </c>
      <c r="AD10" s="35">
        <v>0.9</v>
      </c>
      <c r="AE10" s="35">
        <v>0.9</v>
      </c>
      <c r="AF10" s="35"/>
      <c r="AG10" s="36"/>
      <c r="AH10" s="38">
        <v>6885.03</v>
      </c>
      <c r="AI10" s="39">
        <v>5356.78</v>
      </c>
      <c r="AJ10" s="39">
        <v>5121.79</v>
      </c>
      <c r="AK10" s="39">
        <v>6746.08</v>
      </c>
      <c r="AL10" s="182">
        <v>6313.85</v>
      </c>
      <c r="AM10" s="39"/>
      <c r="AN10" s="40"/>
      <c r="AO10" s="38">
        <v>2484.25</v>
      </c>
      <c r="AP10" s="39">
        <v>343.02</v>
      </c>
      <c r="AQ10" s="39"/>
      <c r="AR10" s="39">
        <v>298.14</v>
      </c>
      <c r="AS10" s="182">
        <v>810.67</v>
      </c>
      <c r="AT10" s="182"/>
      <c r="AU10" s="40"/>
      <c r="AV10" s="41">
        <f t="shared" si="24"/>
        <v>0.36081905234980821</v>
      </c>
      <c r="AW10" s="42">
        <f t="shared" si="24"/>
        <v>6.4034737286205512E-2</v>
      </c>
      <c r="AX10" s="42">
        <f t="shared" si="24"/>
        <v>0</v>
      </c>
      <c r="AY10" s="42">
        <f t="shared" si="24"/>
        <v>4.419455446718687E-2</v>
      </c>
      <c r="AZ10" s="183">
        <f t="shared" si="24"/>
        <v>0.12839551145497596</v>
      </c>
      <c r="BA10" s="183"/>
      <c r="BB10" s="183"/>
      <c r="BC10" s="41" t="s">
        <v>226</v>
      </c>
      <c r="BD10" s="44">
        <f>(AW10-$AV10)*100</f>
        <v>-29.678431506360269</v>
      </c>
      <c r="BE10" s="44">
        <f>(AX10-$AV10)*100</f>
        <v>-36.081905234980823</v>
      </c>
      <c r="BF10" s="44">
        <f>(AY10-$AV10)*100</f>
        <v>-31.662449788262137</v>
      </c>
      <c r="BG10" s="184">
        <f>(AZ10-$AV10)*100</f>
        <v>-23.242354089483225</v>
      </c>
      <c r="BH10" s="184"/>
      <c r="BI10" s="184">
        <f t="shared" si="9"/>
        <v>-36.081905234980823</v>
      </c>
      <c r="BJ10" s="34" t="s">
        <v>226</v>
      </c>
      <c r="BK10" s="46">
        <f t="shared" si="8"/>
        <v>-29.678431506360269</v>
      </c>
      <c r="BL10" s="46">
        <f t="shared" si="8"/>
        <v>-6.4034737286205514</v>
      </c>
      <c r="BM10" s="46">
        <f t="shared" si="8"/>
        <v>4.4194554467186871</v>
      </c>
      <c r="BN10" s="185">
        <f t="shared" si="8"/>
        <v>8.4200956987789102</v>
      </c>
      <c r="BO10" s="185"/>
      <c r="BP10" s="185"/>
      <c r="BQ10" s="41">
        <f>T10/M10</f>
        <v>0</v>
      </c>
      <c r="BR10" s="42">
        <f>U10/N10</f>
        <v>0</v>
      </c>
      <c r="BS10" s="183">
        <f>V10/O10</f>
        <v>0</v>
      </c>
      <c r="BT10" s="183"/>
      <c r="BU10" s="183"/>
      <c r="BV10" s="48"/>
      <c r="BW10" s="48"/>
    </row>
    <row r="11" spans="1:75" x14ac:dyDescent="0.25">
      <c r="A11" s="10">
        <v>28</v>
      </c>
      <c r="B11" s="33" t="s">
        <v>348</v>
      </c>
      <c r="C11" s="34"/>
      <c r="D11" s="35"/>
      <c r="E11" s="35"/>
      <c r="F11" s="93">
        <v>1</v>
      </c>
      <c r="G11" s="93"/>
      <c r="H11" s="34"/>
      <c r="I11" s="35"/>
      <c r="J11" s="35"/>
      <c r="K11" s="93">
        <v>11</v>
      </c>
      <c r="L11" s="36"/>
      <c r="M11" s="34"/>
      <c r="N11" s="35"/>
      <c r="O11" s="35"/>
      <c r="P11" s="93">
        <v>9</v>
      </c>
      <c r="Q11" s="36"/>
      <c r="R11" s="34"/>
      <c r="S11" s="35"/>
      <c r="T11" s="35"/>
      <c r="U11" s="35"/>
      <c r="V11" s="35"/>
      <c r="W11" s="93">
        <v>0</v>
      </c>
      <c r="X11" s="36"/>
      <c r="Y11" s="34"/>
      <c r="Z11" s="35"/>
      <c r="AA11" s="35"/>
      <c r="AB11" s="93"/>
      <c r="AC11" s="35"/>
      <c r="AD11" s="35"/>
      <c r="AE11" s="35"/>
      <c r="AF11" s="89">
        <v>47.9</v>
      </c>
      <c r="AG11" s="90"/>
      <c r="AH11" s="38"/>
      <c r="AI11" s="39"/>
      <c r="AJ11" s="39"/>
      <c r="AK11" s="39"/>
      <c r="AL11" s="39"/>
      <c r="AM11" s="39">
        <v>3641.97</v>
      </c>
      <c r="AN11" s="40"/>
      <c r="AO11" s="38"/>
      <c r="AP11" s="39"/>
      <c r="AQ11" s="39"/>
      <c r="AR11" s="39"/>
      <c r="AS11" s="39"/>
      <c r="AT11" s="182">
        <v>1083.19</v>
      </c>
      <c r="AU11" s="40"/>
      <c r="AV11" s="41"/>
      <c r="AW11" s="42"/>
      <c r="AX11" s="42"/>
      <c r="AY11" s="42"/>
      <c r="AZ11" s="42"/>
      <c r="BA11" s="183">
        <v>0.3</v>
      </c>
      <c r="BB11" s="183"/>
      <c r="BC11" s="41" t="s">
        <v>226</v>
      </c>
      <c r="BD11" s="44"/>
      <c r="BE11" s="44"/>
      <c r="BF11" s="44"/>
      <c r="BG11" s="44"/>
      <c r="BH11" s="184"/>
      <c r="BI11" s="184"/>
      <c r="BJ11" s="34" t="s">
        <v>226</v>
      </c>
      <c r="BK11" s="46"/>
      <c r="BL11" s="46"/>
      <c r="BM11" s="46"/>
      <c r="BN11" s="46"/>
      <c r="BO11" s="185"/>
      <c r="BP11" s="185"/>
      <c r="BQ11" s="41"/>
      <c r="BR11" s="42"/>
      <c r="BS11" s="42"/>
      <c r="BT11" s="183">
        <f t="shared" ref="BT11" si="25">W11/P11</f>
        <v>0</v>
      </c>
      <c r="BU11" s="183"/>
      <c r="BV11" s="48"/>
      <c r="BW11" s="48"/>
    </row>
    <row r="12" spans="1:75" s="23" customFormat="1" x14ac:dyDescent="0.25">
      <c r="A12" s="10">
        <v>29</v>
      </c>
      <c r="B12" s="33" t="s">
        <v>311</v>
      </c>
      <c r="C12" s="34">
        <v>0</v>
      </c>
      <c r="D12" s="35">
        <v>5</v>
      </c>
      <c r="E12" s="93">
        <v>5</v>
      </c>
      <c r="F12" s="93"/>
      <c r="G12" s="93"/>
      <c r="H12" s="34">
        <v>0</v>
      </c>
      <c r="I12" s="35">
        <v>0</v>
      </c>
      <c r="J12" s="93">
        <v>0</v>
      </c>
      <c r="K12" s="93"/>
      <c r="L12" s="36"/>
      <c r="M12" s="34">
        <v>0</v>
      </c>
      <c r="N12" s="35">
        <v>16</v>
      </c>
      <c r="O12" s="93">
        <v>25</v>
      </c>
      <c r="P12" s="93"/>
      <c r="Q12" s="36"/>
      <c r="R12" s="34">
        <v>0</v>
      </c>
      <c r="S12" s="35">
        <v>0</v>
      </c>
      <c r="T12" s="35">
        <v>0</v>
      </c>
      <c r="U12" s="35">
        <v>0</v>
      </c>
      <c r="V12" s="93">
        <v>0</v>
      </c>
      <c r="W12" s="93"/>
      <c r="X12" s="36"/>
      <c r="Y12" s="34">
        <v>18.940000000000001</v>
      </c>
      <c r="Z12" s="35">
        <v>29.69</v>
      </c>
      <c r="AA12" s="35">
        <v>36.119999999999997</v>
      </c>
      <c r="AB12" s="35">
        <v>36.119999999999997</v>
      </c>
      <c r="AC12" s="35">
        <v>36.119999999999997</v>
      </c>
      <c r="AD12" s="35"/>
      <c r="AE12" s="35"/>
      <c r="AF12" s="35"/>
      <c r="AG12" s="36"/>
      <c r="AH12" s="38"/>
      <c r="AI12" s="39"/>
      <c r="AJ12" s="39"/>
      <c r="AK12" s="39">
        <v>40334</v>
      </c>
      <c r="AL12" s="182">
        <v>46647</v>
      </c>
      <c r="AM12" s="39"/>
      <c r="AN12" s="40"/>
      <c r="AO12" s="38"/>
      <c r="AP12" s="39"/>
      <c r="AQ12" s="39"/>
      <c r="AR12" s="39">
        <v>3163</v>
      </c>
      <c r="AS12" s="182">
        <v>7481</v>
      </c>
      <c r="AT12" s="182"/>
      <c r="AU12" s="40"/>
      <c r="AV12" s="41"/>
      <c r="AW12" s="42"/>
      <c r="AX12" s="42"/>
      <c r="AY12" s="42">
        <f>AR12/AK12</f>
        <v>7.8420191401795014E-2</v>
      </c>
      <c r="AZ12" s="183">
        <f>AS12/AL12</f>
        <v>0.16037472935022618</v>
      </c>
      <c r="BA12" s="183"/>
      <c r="BB12" s="183"/>
      <c r="BC12" s="41"/>
      <c r="BD12" s="44"/>
      <c r="BE12" s="44"/>
      <c r="BF12" s="44"/>
      <c r="BG12" s="184"/>
      <c r="BH12" s="184"/>
      <c r="BI12" s="184"/>
      <c r="BJ12" s="34"/>
      <c r="BK12" s="46"/>
      <c r="BL12" s="46"/>
      <c r="BM12" s="46"/>
      <c r="BN12" s="185">
        <f>(AZ12-AY12)*100</f>
        <v>8.1954537948431163</v>
      </c>
      <c r="BO12" s="185"/>
      <c r="BP12" s="185"/>
      <c r="BQ12" s="41"/>
      <c r="BR12" s="42">
        <f>U12/N12</f>
        <v>0</v>
      </c>
      <c r="BS12" s="183">
        <f>V12/O12</f>
        <v>0</v>
      </c>
      <c r="BT12" s="183"/>
      <c r="BU12" s="183"/>
      <c r="BV12" s="48"/>
      <c r="BW12" s="48"/>
    </row>
    <row r="13" spans="1:75" x14ac:dyDescent="0.25">
      <c r="A13" s="10">
        <v>33</v>
      </c>
      <c r="B13" s="33" t="s">
        <v>152</v>
      </c>
      <c r="C13" s="34">
        <v>0</v>
      </c>
      <c r="D13" s="35">
        <v>0</v>
      </c>
      <c r="E13" s="35">
        <v>0</v>
      </c>
      <c r="F13" s="93">
        <v>1</v>
      </c>
      <c r="G13" s="36">
        <v>1</v>
      </c>
      <c r="H13" s="34">
        <v>15</v>
      </c>
      <c r="I13" s="35">
        <v>15</v>
      </c>
      <c r="J13" s="35">
        <v>15</v>
      </c>
      <c r="K13" s="93">
        <v>18</v>
      </c>
      <c r="L13" s="36">
        <v>16</v>
      </c>
      <c r="M13" s="34">
        <v>6</v>
      </c>
      <c r="N13" s="35">
        <v>8</v>
      </c>
      <c r="O13" s="35">
        <v>10</v>
      </c>
      <c r="P13" s="93">
        <v>10</v>
      </c>
      <c r="Q13" s="36">
        <v>10</v>
      </c>
      <c r="R13" s="34">
        <v>0</v>
      </c>
      <c r="S13" s="35">
        <v>0</v>
      </c>
      <c r="T13" s="35">
        <v>0</v>
      </c>
      <c r="U13" s="35">
        <v>0</v>
      </c>
      <c r="V13" s="35">
        <v>2</v>
      </c>
      <c r="W13" s="93">
        <v>1</v>
      </c>
      <c r="X13" s="36">
        <v>1</v>
      </c>
      <c r="Y13" s="34" t="s">
        <v>144</v>
      </c>
      <c r="Z13" s="35" t="s">
        <v>144</v>
      </c>
      <c r="AA13" s="35" t="s">
        <v>144</v>
      </c>
      <c r="AB13" s="93" t="s">
        <v>91</v>
      </c>
      <c r="AC13" s="35" t="s">
        <v>91</v>
      </c>
      <c r="AD13" s="147">
        <v>0.37</v>
      </c>
      <c r="AE13" s="35">
        <v>0.5</v>
      </c>
      <c r="AF13" s="93" t="s">
        <v>91</v>
      </c>
      <c r="AG13" s="93" t="s">
        <v>422</v>
      </c>
      <c r="AH13" s="38">
        <v>1280.46</v>
      </c>
      <c r="AI13" s="39">
        <v>1474.2</v>
      </c>
      <c r="AJ13" s="39">
        <v>1877.03</v>
      </c>
      <c r="AK13" s="39">
        <v>2279.06</v>
      </c>
      <c r="AL13" s="39">
        <v>2166.0500000000002</v>
      </c>
      <c r="AM13" s="182">
        <v>2571.9899999999998</v>
      </c>
      <c r="AN13" s="40">
        <v>2550</v>
      </c>
      <c r="AO13" s="38">
        <v>529.26</v>
      </c>
      <c r="AP13" s="39">
        <v>274.12</v>
      </c>
      <c r="AQ13" s="39">
        <v>460.59</v>
      </c>
      <c r="AR13" s="39">
        <v>781.03</v>
      </c>
      <c r="AS13" s="39">
        <v>770.79</v>
      </c>
      <c r="AT13" s="182">
        <v>733.34</v>
      </c>
      <c r="AU13" s="40">
        <v>873</v>
      </c>
      <c r="AV13" s="41">
        <f t="shared" ref="AV13:BA14" si="26">AO13/AH13</f>
        <v>0.4133358324352186</v>
      </c>
      <c r="AW13" s="42">
        <f t="shared" si="26"/>
        <v>0.1859449192782526</v>
      </c>
      <c r="AX13" s="42">
        <f t="shared" si="26"/>
        <v>0.24538233272776672</v>
      </c>
      <c r="AY13" s="42">
        <f t="shared" si="26"/>
        <v>0.3426983054417172</v>
      </c>
      <c r="AZ13" s="42">
        <f t="shared" si="26"/>
        <v>0.35585051129936979</v>
      </c>
      <c r="BA13" s="183">
        <f t="shared" si="26"/>
        <v>0.28512552537140506</v>
      </c>
      <c r="BB13" s="43">
        <f t="shared" si="11"/>
        <v>0.34235294117647058</v>
      </c>
      <c r="BC13" s="41" t="s">
        <v>226</v>
      </c>
      <c r="BD13" s="44">
        <f t="shared" ref="BD13:BH14" si="27">(AW13-$AV13)*100</f>
        <v>-22.739091315696598</v>
      </c>
      <c r="BE13" s="44">
        <f t="shared" si="27"/>
        <v>-16.795349970745189</v>
      </c>
      <c r="BF13" s="44">
        <f t="shared" si="27"/>
        <v>-7.0637526993501396</v>
      </c>
      <c r="BG13" s="44">
        <f t="shared" si="27"/>
        <v>-5.748532113584881</v>
      </c>
      <c r="BH13" s="184">
        <f t="shared" si="27"/>
        <v>-12.821030706381354</v>
      </c>
      <c r="BI13" s="45">
        <f t="shared" si="9"/>
        <v>-7.0982891258748015</v>
      </c>
      <c r="BJ13" s="34" t="s">
        <v>226</v>
      </c>
      <c r="BK13" s="46">
        <f t="shared" ref="BK13:BO14" si="28">(AW13-AV13)*100</f>
        <v>-22.739091315696598</v>
      </c>
      <c r="BL13" s="46">
        <f t="shared" si="28"/>
        <v>5.9437413449514116</v>
      </c>
      <c r="BM13" s="46">
        <f t="shared" si="28"/>
        <v>9.7315972713950476</v>
      </c>
      <c r="BN13" s="46">
        <f t="shared" si="28"/>
        <v>1.3152205857652588</v>
      </c>
      <c r="BO13" s="185">
        <f t="shared" si="28"/>
        <v>-7.0724985927964727</v>
      </c>
      <c r="BP13" s="47">
        <f t="shared" si="16"/>
        <v>5.7227415805065522</v>
      </c>
      <c r="BQ13" s="41">
        <f t="shared" ref="BQ13:BT14" si="29">T13/M13</f>
        <v>0</v>
      </c>
      <c r="BR13" s="42">
        <f t="shared" si="29"/>
        <v>0</v>
      </c>
      <c r="BS13" s="42">
        <f t="shared" si="29"/>
        <v>0.2</v>
      </c>
      <c r="BT13" s="183">
        <f t="shared" si="29"/>
        <v>0.1</v>
      </c>
      <c r="BU13" s="183">
        <f t="shared" si="19"/>
        <v>0.1</v>
      </c>
      <c r="BV13" s="48"/>
      <c r="BW13" s="48">
        <f t="shared" si="20"/>
        <v>0</v>
      </c>
    </row>
    <row r="14" spans="1:75" x14ac:dyDescent="0.25">
      <c r="A14" s="10">
        <v>33</v>
      </c>
      <c r="B14" s="33" t="s">
        <v>153</v>
      </c>
      <c r="C14" s="34">
        <v>0</v>
      </c>
      <c r="D14" s="35">
        <v>0</v>
      </c>
      <c r="E14" s="35">
        <v>0</v>
      </c>
      <c r="F14" s="93">
        <v>0</v>
      </c>
      <c r="G14" s="36">
        <v>0</v>
      </c>
      <c r="H14" s="34">
        <v>4</v>
      </c>
      <c r="I14" s="35">
        <v>4</v>
      </c>
      <c r="J14" s="35">
        <v>4</v>
      </c>
      <c r="K14" s="93">
        <v>4</v>
      </c>
      <c r="L14" s="36">
        <v>4</v>
      </c>
      <c r="M14" s="34">
        <v>0</v>
      </c>
      <c r="N14" s="35">
        <v>1</v>
      </c>
      <c r="O14" s="35">
        <v>2</v>
      </c>
      <c r="P14" s="93">
        <v>2</v>
      </c>
      <c r="Q14" s="36">
        <v>2</v>
      </c>
      <c r="R14" s="34">
        <v>0</v>
      </c>
      <c r="S14" s="35">
        <v>0</v>
      </c>
      <c r="T14" s="35">
        <v>0</v>
      </c>
      <c r="U14" s="35">
        <v>0</v>
      </c>
      <c r="V14" s="35">
        <v>0</v>
      </c>
      <c r="W14" s="93">
        <v>0</v>
      </c>
      <c r="X14" s="36">
        <v>0</v>
      </c>
      <c r="Y14" s="34" t="s">
        <v>126</v>
      </c>
      <c r="Z14" s="35" t="s">
        <v>145</v>
      </c>
      <c r="AA14" s="35" t="s">
        <v>145</v>
      </c>
      <c r="AB14" s="93" t="s">
        <v>145</v>
      </c>
      <c r="AC14" s="35" t="s">
        <v>145</v>
      </c>
      <c r="AD14" s="147">
        <v>0.9</v>
      </c>
      <c r="AE14" s="35">
        <v>0.9</v>
      </c>
      <c r="AF14" s="93" t="s">
        <v>145</v>
      </c>
      <c r="AG14" s="93" t="s">
        <v>425</v>
      </c>
      <c r="AH14" s="38">
        <v>558</v>
      </c>
      <c r="AI14" s="39">
        <v>1132</v>
      </c>
      <c r="AJ14" s="39">
        <v>1221</v>
      </c>
      <c r="AK14" s="39">
        <v>1221</v>
      </c>
      <c r="AL14" s="39">
        <v>1119</v>
      </c>
      <c r="AM14" s="182">
        <v>1088.8699999999999</v>
      </c>
      <c r="AN14" s="40">
        <v>1117</v>
      </c>
      <c r="AO14" s="38">
        <v>0</v>
      </c>
      <c r="AP14" s="39">
        <v>0</v>
      </c>
      <c r="AQ14" s="39">
        <v>0</v>
      </c>
      <c r="AR14" s="39">
        <v>76</v>
      </c>
      <c r="AS14" s="39">
        <v>499</v>
      </c>
      <c r="AT14" s="182">
        <v>377</v>
      </c>
      <c r="AU14" s="40">
        <v>351</v>
      </c>
      <c r="AV14" s="41">
        <f t="shared" si="26"/>
        <v>0</v>
      </c>
      <c r="AW14" s="42">
        <f t="shared" si="26"/>
        <v>0</v>
      </c>
      <c r="AX14" s="42">
        <f t="shared" si="26"/>
        <v>0</v>
      </c>
      <c r="AY14" s="42">
        <f t="shared" si="26"/>
        <v>6.2244062244062245E-2</v>
      </c>
      <c r="AZ14" s="42">
        <f t="shared" si="26"/>
        <v>0.44593386952636282</v>
      </c>
      <c r="BA14" s="183">
        <f t="shared" si="26"/>
        <v>0.34623049583513188</v>
      </c>
      <c r="BB14" s="43">
        <f t="shared" si="11"/>
        <v>0.31423455684870188</v>
      </c>
      <c r="BC14" s="41" t="s">
        <v>226</v>
      </c>
      <c r="BD14" s="44">
        <f t="shared" si="27"/>
        <v>0</v>
      </c>
      <c r="BE14" s="44">
        <f t="shared" si="27"/>
        <v>0</v>
      </c>
      <c r="BF14" s="44">
        <f t="shared" si="27"/>
        <v>6.2244062244062244</v>
      </c>
      <c r="BG14" s="44">
        <f t="shared" si="27"/>
        <v>44.59338695263628</v>
      </c>
      <c r="BH14" s="184">
        <f t="shared" si="27"/>
        <v>34.623049583513186</v>
      </c>
      <c r="BI14" s="45">
        <f t="shared" si="9"/>
        <v>31.423455684870188</v>
      </c>
      <c r="BJ14" s="34" t="s">
        <v>226</v>
      </c>
      <c r="BK14" s="46">
        <f t="shared" si="28"/>
        <v>0</v>
      </c>
      <c r="BL14" s="46">
        <f t="shared" si="28"/>
        <v>0</v>
      </c>
      <c r="BM14" s="46">
        <f t="shared" si="28"/>
        <v>6.2244062244062244</v>
      </c>
      <c r="BN14" s="46">
        <f t="shared" si="28"/>
        <v>38.368980728230056</v>
      </c>
      <c r="BO14" s="185">
        <f t="shared" si="28"/>
        <v>-9.9703373691230937</v>
      </c>
      <c r="BP14" s="47">
        <f t="shared" si="16"/>
        <v>-3.1995938986429993</v>
      </c>
      <c r="BQ14" s="41"/>
      <c r="BR14" s="42">
        <f t="shared" si="29"/>
        <v>0</v>
      </c>
      <c r="BS14" s="42">
        <f t="shared" si="29"/>
        <v>0</v>
      </c>
      <c r="BT14" s="183">
        <f t="shared" si="29"/>
        <v>0</v>
      </c>
      <c r="BU14" s="183">
        <f t="shared" si="19"/>
        <v>0</v>
      </c>
      <c r="BV14" s="48"/>
      <c r="BW14" s="48">
        <f t="shared" si="20"/>
        <v>0</v>
      </c>
    </row>
    <row r="15" spans="1:75" x14ac:dyDescent="0.25">
      <c r="A15" s="10">
        <v>41</v>
      </c>
      <c r="B15" s="33" t="s">
        <v>383</v>
      </c>
      <c r="C15" s="34"/>
      <c r="D15" s="35"/>
      <c r="E15" s="35"/>
      <c r="F15" s="93"/>
      <c r="G15" s="36">
        <v>0</v>
      </c>
      <c r="H15" s="34"/>
      <c r="I15" s="35"/>
      <c r="J15" s="35"/>
      <c r="K15" s="93"/>
      <c r="L15" s="36">
        <v>39</v>
      </c>
      <c r="M15" s="34"/>
      <c r="N15" s="35"/>
      <c r="O15" s="35"/>
      <c r="P15" s="93"/>
      <c r="Q15" s="36">
        <v>18</v>
      </c>
      <c r="R15" s="34"/>
      <c r="S15" s="35"/>
      <c r="T15" s="35"/>
      <c r="U15" s="35"/>
      <c r="V15" s="35"/>
      <c r="W15" s="93"/>
      <c r="X15" s="36">
        <v>0</v>
      </c>
      <c r="Y15" s="34"/>
      <c r="Z15" s="35"/>
      <c r="AA15" s="35"/>
      <c r="AB15" s="93"/>
      <c r="AC15" s="35"/>
      <c r="AD15" s="147"/>
      <c r="AE15" s="35"/>
      <c r="AF15" s="154"/>
      <c r="AG15" s="90" t="s">
        <v>424</v>
      </c>
      <c r="AH15" s="38"/>
      <c r="AI15" s="39"/>
      <c r="AJ15" s="39"/>
      <c r="AK15" s="39"/>
      <c r="AL15" s="39"/>
      <c r="AM15" s="182"/>
      <c r="AN15" s="40">
        <v>11420.81</v>
      </c>
      <c r="AO15" s="38"/>
      <c r="AP15" s="39"/>
      <c r="AQ15" s="39"/>
      <c r="AR15" s="39"/>
      <c r="AS15" s="39"/>
      <c r="AT15" s="182"/>
      <c r="AU15" s="40">
        <v>2428.34</v>
      </c>
      <c r="AV15" s="41"/>
      <c r="AW15" s="42"/>
      <c r="AX15" s="42"/>
      <c r="AY15" s="42"/>
      <c r="AZ15" s="42"/>
      <c r="BA15" s="183"/>
      <c r="BB15" s="43">
        <f t="shared" si="11"/>
        <v>0.21262414837476504</v>
      </c>
      <c r="BC15" s="41"/>
      <c r="BD15" s="44"/>
      <c r="BE15" s="44"/>
      <c r="BF15" s="44"/>
      <c r="BG15" s="44"/>
      <c r="BH15" s="184"/>
      <c r="BI15" s="45"/>
      <c r="BJ15" s="34"/>
      <c r="BK15" s="46"/>
      <c r="BL15" s="46"/>
      <c r="BM15" s="46"/>
      <c r="BN15" s="46"/>
      <c r="BO15" s="185"/>
      <c r="BP15" s="47"/>
      <c r="BQ15" s="41"/>
      <c r="BR15" s="42"/>
      <c r="BS15" s="42"/>
      <c r="BT15" s="183"/>
      <c r="BU15" s="183">
        <f t="shared" si="19"/>
        <v>0</v>
      </c>
      <c r="BV15" s="48"/>
      <c r="BW15" s="48"/>
    </row>
    <row r="16" spans="1:75" x14ac:dyDescent="0.25">
      <c r="A16" s="10">
        <v>44</v>
      </c>
      <c r="B16" s="33" t="s">
        <v>327</v>
      </c>
      <c r="C16" s="34"/>
      <c r="D16" s="35"/>
      <c r="E16" s="35"/>
      <c r="F16" s="93">
        <v>4</v>
      </c>
      <c r="G16" s="36">
        <v>4</v>
      </c>
      <c r="H16" s="34"/>
      <c r="I16" s="35"/>
      <c r="J16" s="35"/>
      <c r="K16" s="93">
        <v>0</v>
      </c>
      <c r="L16" s="36">
        <v>0</v>
      </c>
      <c r="M16" s="34"/>
      <c r="N16" s="35"/>
      <c r="O16" s="35"/>
      <c r="P16" s="93">
        <v>29</v>
      </c>
      <c r="Q16" s="36">
        <v>27</v>
      </c>
      <c r="R16" s="34"/>
      <c r="S16" s="35"/>
      <c r="T16" s="35"/>
      <c r="U16" s="35"/>
      <c r="V16" s="35"/>
      <c r="W16" s="93">
        <v>7</v>
      </c>
      <c r="X16" s="36">
        <v>6</v>
      </c>
      <c r="Y16" s="34"/>
      <c r="Z16" s="35"/>
      <c r="AA16" s="35"/>
      <c r="AB16" s="93"/>
      <c r="AC16" s="35"/>
      <c r="AD16" s="147"/>
      <c r="AE16" s="35"/>
      <c r="AF16" s="154"/>
      <c r="AG16" s="90"/>
      <c r="AH16" s="38"/>
      <c r="AI16" s="39"/>
      <c r="AJ16" s="39"/>
      <c r="AK16" s="39"/>
      <c r="AL16" s="39"/>
      <c r="AM16" s="154">
        <v>23182</v>
      </c>
      <c r="AN16" s="90">
        <v>26900</v>
      </c>
      <c r="AO16" s="38"/>
      <c r="AP16" s="39"/>
      <c r="AQ16" s="39"/>
      <c r="AR16" s="39"/>
      <c r="AS16" s="39"/>
      <c r="AT16" s="182">
        <v>6402</v>
      </c>
      <c r="AU16" s="40">
        <v>8200</v>
      </c>
      <c r="AV16" s="41"/>
      <c r="AW16" s="42"/>
      <c r="AX16" s="42"/>
      <c r="AY16" s="42"/>
      <c r="AZ16" s="42"/>
      <c r="BA16" s="183">
        <f t="shared" ref="BA16" si="30">AT16/AM16</f>
        <v>0.27616253990164785</v>
      </c>
      <c r="BB16" s="43">
        <f t="shared" si="11"/>
        <v>0.30483271375464682</v>
      </c>
      <c r="BC16" s="41"/>
      <c r="BD16" s="44"/>
      <c r="BE16" s="44"/>
      <c r="BF16" s="44"/>
      <c r="BG16" s="44"/>
      <c r="BH16" s="184"/>
      <c r="BI16" s="45"/>
      <c r="BJ16" s="34"/>
      <c r="BK16" s="46"/>
      <c r="BL16" s="46"/>
      <c r="BM16" s="46"/>
      <c r="BN16" s="46"/>
      <c r="BO16" s="185"/>
      <c r="BP16" s="47"/>
      <c r="BQ16" s="41"/>
      <c r="BR16" s="42"/>
      <c r="BS16" s="42"/>
      <c r="BT16" s="183">
        <f t="shared" ref="BT16" si="31">W16/P16</f>
        <v>0.2413793103448276</v>
      </c>
      <c r="BU16" s="183">
        <f t="shared" si="19"/>
        <v>0.22222222222222221</v>
      </c>
      <c r="BV16" s="48"/>
      <c r="BW16" s="48">
        <f t="shared" si="20"/>
        <v>-6.8965517241379309E-2</v>
      </c>
    </row>
    <row r="17" spans="1:75" x14ac:dyDescent="0.25">
      <c r="A17" s="10">
        <v>50</v>
      </c>
      <c r="B17" s="33" t="s">
        <v>163</v>
      </c>
      <c r="C17" s="34">
        <v>3</v>
      </c>
      <c r="D17" s="35">
        <v>3</v>
      </c>
      <c r="E17" s="35">
        <v>3</v>
      </c>
      <c r="F17" s="93">
        <v>6</v>
      </c>
      <c r="G17" s="93"/>
      <c r="H17" s="34">
        <v>0</v>
      </c>
      <c r="I17" s="35">
        <v>0</v>
      </c>
      <c r="J17" s="35">
        <v>0</v>
      </c>
      <c r="K17" s="93">
        <v>0</v>
      </c>
      <c r="L17" s="36"/>
      <c r="M17" s="34">
        <v>3</v>
      </c>
      <c r="N17" s="35">
        <v>3</v>
      </c>
      <c r="O17" s="35">
        <v>3</v>
      </c>
      <c r="P17" s="93">
        <v>3</v>
      </c>
      <c r="Q17" s="36"/>
      <c r="R17" s="34">
        <v>0</v>
      </c>
      <c r="S17" s="35">
        <v>0</v>
      </c>
      <c r="T17" s="35">
        <v>0</v>
      </c>
      <c r="U17" s="35">
        <v>0</v>
      </c>
      <c r="V17" s="35">
        <v>0</v>
      </c>
      <c r="W17" s="93">
        <v>0</v>
      </c>
      <c r="X17" s="36"/>
      <c r="Y17" s="88">
        <v>46.5</v>
      </c>
      <c r="Z17" s="89">
        <v>46.5</v>
      </c>
      <c r="AA17" s="89">
        <v>46.5</v>
      </c>
      <c r="AB17" s="154">
        <v>46.5</v>
      </c>
      <c r="AC17" s="89">
        <v>46.5</v>
      </c>
      <c r="AD17" s="89"/>
      <c r="AE17" s="89"/>
      <c r="AF17" s="89">
        <v>46.5</v>
      </c>
      <c r="AG17" s="90"/>
      <c r="AH17" s="38"/>
      <c r="AI17" s="39"/>
      <c r="AJ17" s="39">
        <v>21539.5</v>
      </c>
      <c r="AK17" s="39">
        <v>19771.38</v>
      </c>
      <c r="AL17" s="39">
        <v>20784.189999999999</v>
      </c>
      <c r="AM17" s="39">
        <v>21591.14</v>
      </c>
      <c r="AN17" s="40"/>
      <c r="AO17" s="38"/>
      <c r="AP17" s="39"/>
      <c r="AQ17" s="39">
        <v>2124.96</v>
      </c>
      <c r="AR17" s="39">
        <v>2131.19</v>
      </c>
      <c r="AS17" s="39">
        <v>4856.2700000000004</v>
      </c>
      <c r="AT17" s="182">
        <v>6037.07</v>
      </c>
      <c r="AU17" s="40"/>
      <c r="AV17" s="41"/>
      <c r="AW17" s="42"/>
      <c r="AX17" s="42">
        <f t="shared" ref="AX17:AZ18" si="32">AQ17/AJ17</f>
        <v>9.8654100605863645E-2</v>
      </c>
      <c r="AY17" s="42">
        <f t="shared" si="32"/>
        <v>0.10779166654022126</v>
      </c>
      <c r="AZ17" s="42">
        <f t="shared" si="32"/>
        <v>0.23365211730647192</v>
      </c>
      <c r="BA17" s="183">
        <v>0.28000000000000003</v>
      </c>
      <c r="BB17" s="183"/>
      <c r="BC17" s="41" t="s">
        <v>226</v>
      </c>
      <c r="BD17" s="44"/>
      <c r="BE17" s="44"/>
      <c r="BF17" s="44"/>
      <c r="BG17" s="44"/>
      <c r="BH17" s="184"/>
      <c r="BI17" s="184"/>
      <c r="BJ17" s="34" t="s">
        <v>226</v>
      </c>
      <c r="BK17" s="46"/>
      <c r="BL17" s="46"/>
      <c r="BM17" s="46">
        <f t="shared" ref="BM17:BO17" si="33">(AY17-AX17)*100</f>
        <v>0.91375659343576188</v>
      </c>
      <c r="BN17" s="46">
        <f t="shared" si="33"/>
        <v>12.586045076625066</v>
      </c>
      <c r="BO17" s="185">
        <f t="shared" si="33"/>
        <v>4.6347882693528106</v>
      </c>
      <c r="BP17" s="185"/>
      <c r="BQ17" s="41">
        <f>T17/M17</f>
        <v>0</v>
      </c>
      <c r="BR17" s="42">
        <f>U17/N17</f>
        <v>0</v>
      </c>
      <c r="BS17" s="42">
        <f>V17/O17</f>
        <v>0</v>
      </c>
      <c r="BT17" s="183">
        <f>W17/P17</f>
        <v>0</v>
      </c>
      <c r="BU17" s="183"/>
      <c r="BV17" s="48"/>
      <c r="BW17" s="48"/>
    </row>
    <row r="18" spans="1:75" x14ac:dyDescent="0.25">
      <c r="A18" s="10">
        <v>52</v>
      </c>
      <c r="B18" s="33" t="s">
        <v>232</v>
      </c>
      <c r="C18" s="34">
        <v>7</v>
      </c>
      <c r="D18" s="35">
        <v>7</v>
      </c>
      <c r="E18" s="93">
        <v>7</v>
      </c>
      <c r="F18" s="93"/>
      <c r="G18" s="93"/>
      <c r="H18" s="34">
        <v>9</v>
      </c>
      <c r="I18" s="35">
        <v>9</v>
      </c>
      <c r="J18" s="93">
        <v>9</v>
      </c>
      <c r="K18" s="93"/>
      <c r="L18" s="36"/>
      <c r="M18" s="34">
        <v>16</v>
      </c>
      <c r="N18" s="35">
        <v>24</v>
      </c>
      <c r="O18" s="93">
        <v>31</v>
      </c>
      <c r="P18" s="93"/>
      <c r="Q18" s="36"/>
      <c r="R18" s="34">
        <v>3</v>
      </c>
      <c r="S18" s="35">
        <v>0</v>
      </c>
      <c r="T18" s="35">
        <v>0</v>
      </c>
      <c r="U18" s="35">
        <v>3</v>
      </c>
      <c r="V18" s="93">
        <v>6</v>
      </c>
      <c r="W18" s="93"/>
      <c r="X18" s="36"/>
      <c r="Y18" s="34">
        <v>20.94</v>
      </c>
      <c r="Z18" s="35">
        <v>29.03</v>
      </c>
      <c r="AA18" s="35">
        <v>41.44</v>
      </c>
      <c r="AB18" s="35">
        <v>41.44</v>
      </c>
      <c r="AC18" s="35">
        <v>29.95</v>
      </c>
      <c r="AD18" s="35"/>
      <c r="AE18" s="35"/>
      <c r="AF18" s="35"/>
      <c r="AG18" s="36"/>
      <c r="AH18" s="38">
        <v>31683</v>
      </c>
      <c r="AI18" s="39">
        <v>30450</v>
      </c>
      <c r="AJ18" s="39">
        <v>38807</v>
      </c>
      <c r="AK18" s="39">
        <v>50021</v>
      </c>
      <c r="AL18" s="182">
        <v>41189</v>
      </c>
      <c r="AM18" s="39"/>
      <c r="AN18" s="40"/>
      <c r="AO18" s="38">
        <v>830</v>
      </c>
      <c r="AP18" s="39">
        <v>1210</v>
      </c>
      <c r="AQ18" s="39">
        <v>1567</v>
      </c>
      <c r="AR18" s="39">
        <v>6211</v>
      </c>
      <c r="AS18" s="182">
        <v>5853</v>
      </c>
      <c r="AT18" s="182"/>
      <c r="AU18" s="40"/>
      <c r="AV18" s="41">
        <f>AO18/AH18</f>
        <v>2.6197014171637788E-2</v>
      </c>
      <c r="AW18" s="42">
        <f>AP18/AI18</f>
        <v>3.9737274220032842E-2</v>
      </c>
      <c r="AX18" s="42">
        <f t="shared" si="32"/>
        <v>4.0379313010539333E-2</v>
      </c>
      <c r="AY18" s="42">
        <f t="shared" si="32"/>
        <v>0.12416784950320865</v>
      </c>
      <c r="AZ18" s="183">
        <f t="shared" si="32"/>
        <v>0.14210104639588239</v>
      </c>
      <c r="BA18" s="183"/>
      <c r="BB18" s="183"/>
      <c r="BC18" s="41" t="s">
        <v>226</v>
      </c>
      <c r="BD18" s="44">
        <f t="shared" ref="BD18:BH28" si="34">(AW18-$AV18)*100</f>
        <v>1.3540260048395054</v>
      </c>
      <c r="BE18" s="44">
        <f t="shared" si="34"/>
        <v>1.4182298838901546</v>
      </c>
      <c r="BF18" s="44">
        <f t="shared" si="34"/>
        <v>9.7970835331570854</v>
      </c>
      <c r="BG18" s="184">
        <f t="shared" si="34"/>
        <v>11.59040322242446</v>
      </c>
      <c r="BH18" s="184"/>
      <c r="BI18" s="184"/>
      <c r="BJ18" s="34" t="s">
        <v>226</v>
      </c>
      <c r="BK18" s="46">
        <f t="shared" ref="BK18:BP27" si="35">(AW18-AV18)*100</f>
        <v>1.3540260048395054</v>
      </c>
      <c r="BL18" s="46">
        <f t="shared" si="35"/>
        <v>6.4203879050649115E-2</v>
      </c>
      <c r="BM18" s="46">
        <f t="shared" si="35"/>
        <v>8.3788536492669312</v>
      </c>
      <c r="BN18" s="185">
        <f t="shared" si="35"/>
        <v>1.793319689267374</v>
      </c>
      <c r="BO18" s="185"/>
      <c r="BP18" s="185"/>
      <c r="BQ18" s="41">
        <f t="shared" ref="BQ18:BS18" si="36">T18/M18</f>
        <v>0</v>
      </c>
      <c r="BR18" s="42">
        <f t="shared" si="36"/>
        <v>0.125</v>
      </c>
      <c r="BS18" s="183">
        <f t="shared" si="36"/>
        <v>0.19354838709677419</v>
      </c>
      <c r="BT18" s="183"/>
      <c r="BU18" s="183"/>
      <c r="BV18" s="48"/>
      <c r="BW18" s="48"/>
    </row>
    <row r="19" spans="1:75" x14ac:dyDescent="0.25">
      <c r="A19" s="10">
        <v>58</v>
      </c>
      <c r="B19" s="33" t="s">
        <v>259</v>
      </c>
      <c r="C19" s="34">
        <v>0</v>
      </c>
      <c r="D19" s="35">
        <v>0</v>
      </c>
      <c r="E19" s="35">
        <v>0</v>
      </c>
      <c r="F19" s="93">
        <v>0</v>
      </c>
      <c r="G19" s="93"/>
      <c r="H19" s="34">
        <v>0</v>
      </c>
      <c r="I19" s="35">
        <v>45</v>
      </c>
      <c r="J19" s="35">
        <v>45</v>
      </c>
      <c r="K19" s="93">
        <v>45</v>
      </c>
      <c r="L19" s="36"/>
      <c r="M19" s="34">
        <v>0</v>
      </c>
      <c r="N19" s="35">
        <v>17</v>
      </c>
      <c r="O19" s="35">
        <v>26</v>
      </c>
      <c r="P19" s="93">
        <v>18</v>
      </c>
      <c r="Q19" s="36"/>
      <c r="R19" s="34">
        <v>0</v>
      </c>
      <c r="S19" s="35">
        <v>0</v>
      </c>
      <c r="T19" s="35">
        <v>0</v>
      </c>
      <c r="U19" s="35">
        <v>0</v>
      </c>
      <c r="V19" s="35">
        <v>0</v>
      </c>
      <c r="W19" s="93">
        <v>0</v>
      </c>
      <c r="X19" s="36"/>
      <c r="Y19" s="34"/>
      <c r="Z19" s="35"/>
      <c r="AA19" s="35"/>
      <c r="AB19" s="93" t="s">
        <v>126</v>
      </c>
      <c r="AC19" s="35" t="s">
        <v>126</v>
      </c>
      <c r="AD19" s="35"/>
      <c r="AE19" s="35"/>
      <c r="AF19" s="35" t="s">
        <v>126</v>
      </c>
      <c r="AG19" s="36"/>
      <c r="AH19" s="38"/>
      <c r="AI19" s="39"/>
      <c r="AJ19" s="39"/>
      <c r="AK19" s="39"/>
      <c r="AL19" s="39">
        <v>6099</v>
      </c>
      <c r="AM19" s="39">
        <v>6151</v>
      </c>
      <c r="AN19" s="40"/>
      <c r="AO19" s="38"/>
      <c r="AP19" s="39"/>
      <c r="AQ19" s="39"/>
      <c r="AR19" s="39"/>
      <c r="AS19" s="39">
        <v>3387</v>
      </c>
      <c r="AT19" s="182">
        <v>1664</v>
      </c>
      <c r="AU19" s="40"/>
      <c r="AV19" s="41"/>
      <c r="AW19" s="42"/>
      <c r="AX19" s="42"/>
      <c r="AY19" s="42"/>
      <c r="AZ19" s="42">
        <f t="shared" ref="AZ19" si="37">AS19/AL19</f>
        <v>0.55533694048204618</v>
      </c>
      <c r="BA19" s="183">
        <v>0.27</v>
      </c>
      <c r="BB19" s="183"/>
      <c r="BC19" s="41" t="s">
        <v>226</v>
      </c>
      <c r="BD19" s="44"/>
      <c r="BE19" s="44"/>
      <c r="BF19" s="44"/>
      <c r="BG19" s="44"/>
      <c r="BH19" s="184"/>
      <c r="BI19" s="184"/>
      <c r="BJ19" s="34" t="s">
        <v>226</v>
      </c>
      <c r="BK19" s="46"/>
      <c r="BL19" s="46"/>
      <c r="BM19" s="46"/>
      <c r="BN19" s="46"/>
      <c r="BO19" s="185">
        <f t="shared" ref="BO19" si="38">(BA19-AZ19)*100</f>
        <v>-28.533694048204616</v>
      </c>
      <c r="BP19" s="185"/>
      <c r="BQ19" s="41"/>
      <c r="BR19" s="42">
        <f>U19/N19</f>
        <v>0</v>
      </c>
      <c r="BS19" s="42">
        <f>V19/O19</f>
        <v>0</v>
      </c>
      <c r="BT19" s="183">
        <f>W19/P19</f>
        <v>0</v>
      </c>
      <c r="BU19" s="183"/>
      <c r="BV19" s="48"/>
      <c r="BW19" s="48"/>
    </row>
    <row r="20" spans="1:75" x14ac:dyDescent="0.25">
      <c r="A20" s="10">
        <v>59</v>
      </c>
      <c r="B20" s="33" t="s">
        <v>265</v>
      </c>
      <c r="C20" s="34">
        <v>0</v>
      </c>
      <c r="D20" s="35">
        <v>0</v>
      </c>
      <c r="E20" s="93">
        <v>0</v>
      </c>
      <c r="F20" s="93"/>
      <c r="G20" s="93"/>
      <c r="H20" s="34">
        <v>13</v>
      </c>
      <c r="I20" s="35">
        <v>13</v>
      </c>
      <c r="J20" s="93">
        <v>12</v>
      </c>
      <c r="K20" s="93"/>
      <c r="L20" s="36"/>
      <c r="M20" s="34">
        <v>4</v>
      </c>
      <c r="N20" s="35">
        <v>10</v>
      </c>
      <c r="O20" s="93">
        <v>9</v>
      </c>
      <c r="P20" s="93"/>
      <c r="Q20" s="36"/>
      <c r="R20" s="34">
        <v>0</v>
      </c>
      <c r="S20" s="35">
        <v>0</v>
      </c>
      <c r="T20" s="35">
        <v>0</v>
      </c>
      <c r="U20" s="35">
        <v>0</v>
      </c>
      <c r="V20" s="93">
        <v>0</v>
      </c>
      <c r="W20" s="93"/>
      <c r="X20" s="36"/>
      <c r="Y20" s="34" t="s">
        <v>150</v>
      </c>
      <c r="Z20" s="35" t="s">
        <v>150</v>
      </c>
      <c r="AA20" s="35" t="s">
        <v>150</v>
      </c>
      <c r="AB20" s="35" t="s">
        <v>150</v>
      </c>
      <c r="AC20" s="35" t="s">
        <v>150</v>
      </c>
      <c r="AD20" s="35">
        <v>0.56999999999999995</v>
      </c>
      <c r="AE20" s="35">
        <v>0.56999999999999995</v>
      </c>
      <c r="AF20" s="35"/>
      <c r="AG20" s="36"/>
      <c r="AH20" s="38">
        <v>1200</v>
      </c>
      <c r="AI20" s="39">
        <v>1203</v>
      </c>
      <c r="AJ20" s="39">
        <v>1280</v>
      </c>
      <c r="AK20" s="39">
        <v>989</v>
      </c>
      <c r="AL20" s="182">
        <v>1144</v>
      </c>
      <c r="AM20" s="39"/>
      <c r="AN20" s="40"/>
      <c r="AO20" s="38">
        <v>342</v>
      </c>
      <c r="AP20" s="39">
        <v>404</v>
      </c>
      <c r="AQ20" s="39">
        <v>380</v>
      </c>
      <c r="AR20" s="39">
        <v>654</v>
      </c>
      <c r="AS20" s="182">
        <v>1000</v>
      </c>
      <c r="AT20" s="182"/>
      <c r="AU20" s="40"/>
      <c r="AV20" s="41">
        <f t="shared" ref="AV20:BA22" si="39">AO20/AH20</f>
        <v>0.28499999999999998</v>
      </c>
      <c r="AW20" s="42">
        <f t="shared" si="39"/>
        <v>0.33582709891936824</v>
      </c>
      <c r="AX20" s="42">
        <f t="shared" si="39"/>
        <v>0.296875</v>
      </c>
      <c r="AY20" s="42">
        <f t="shared" si="39"/>
        <v>0.66127401415571285</v>
      </c>
      <c r="AZ20" s="183">
        <f t="shared" si="39"/>
        <v>0.87412587412587417</v>
      </c>
      <c r="BA20" s="183"/>
      <c r="BB20" s="183"/>
      <c r="BC20" s="41" t="s">
        <v>226</v>
      </c>
      <c r="BD20" s="44">
        <f t="shared" si="34"/>
        <v>5.0827098919368261</v>
      </c>
      <c r="BE20" s="44">
        <f t="shared" si="34"/>
        <v>1.1875000000000024</v>
      </c>
      <c r="BF20" s="44">
        <f t="shared" si="34"/>
        <v>37.627401415571285</v>
      </c>
      <c r="BG20" s="184">
        <f t="shared" si="34"/>
        <v>58.912587412587428</v>
      </c>
      <c r="BH20" s="184"/>
      <c r="BI20" s="184"/>
      <c r="BJ20" s="34" t="s">
        <v>226</v>
      </c>
      <c r="BK20" s="46">
        <f t="shared" si="35"/>
        <v>5.0827098919368261</v>
      </c>
      <c r="BL20" s="46">
        <f t="shared" si="35"/>
        <v>-3.8952098919368239</v>
      </c>
      <c r="BM20" s="46">
        <f t="shared" si="35"/>
        <v>36.439901415571285</v>
      </c>
      <c r="BN20" s="185">
        <f t="shared" si="35"/>
        <v>21.285185997016132</v>
      </c>
      <c r="BO20" s="185"/>
      <c r="BP20" s="185"/>
      <c r="BQ20" s="41">
        <f t="shared" ref="BQ20:BT22" si="40">T20/M20</f>
        <v>0</v>
      </c>
      <c r="BR20" s="42">
        <f t="shared" si="40"/>
        <v>0</v>
      </c>
      <c r="BS20" s="183">
        <f t="shared" si="40"/>
        <v>0</v>
      </c>
      <c r="BT20" s="183"/>
      <c r="BU20" s="183"/>
      <c r="BV20" s="48"/>
      <c r="BW20" s="48"/>
    </row>
    <row r="21" spans="1:75" x14ac:dyDescent="0.25">
      <c r="A21" s="10">
        <v>59</v>
      </c>
      <c r="B21" s="33" t="s">
        <v>266</v>
      </c>
      <c r="C21" s="34">
        <v>0</v>
      </c>
      <c r="D21" s="35">
        <v>0</v>
      </c>
      <c r="E21" s="35">
        <v>0</v>
      </c>
      <c r="F21" s="93"/>
      <c r="G21" s="36">
        <v>0</v>
      </c>
      <c r="H21" s="34">
        <v>33</v>
      </c>
      <c r="I21" s="35">
        <v>36</v>
      </c>
      <c r="J21" s="35">
        <v>36</v>
      </c>
      <c r="K21" s="93"/>
      <c r="L21" s="36">
        <v>62</v>
      </c>
      <c r="M21" s="34">
        <v>1</v>
      </c>
      <c r="N21" s="35">
        <v>3</v>
      </c>
      <c r="O21" s="35">
        <v>11</v>
      </c>
      <c r="P21" s="93"/>
      <c r="Q21" s="36">
        <v>12</v>
      </c>
      <c r="R21" s="34">
        <v>1</v>
      </c>
      <c r="S21" s="35">
        <v>0</v>
      </c>
      <c r="T21" s="35">
        <v>0</v>
      </c>
      <c r="U21" s="35">
        <v>0</v>
      </c>
      <c r="V21" s="35">
        <v>0</v>
      </c>
      <c r="W21" s="93"/>
      <c r="X21" s="36">
        <v>0</v>
      </c>
      <c r="Y21" s="34" t="s">
        <v>108</v>
      </c>
      <c r="Z21" s="35" t="s">
        <v>126</v>
      </c>
      <c r="AA21" s="35" t="s">
        <v>126</v>
      </c>
      <c r="AB21" s="93" t="s">
        <v>126</v>
      </c>
      <c r="AC21" s="35" t="s">
        <v>126</v>
      </c>
      <c r="AD21" s="147">
        <v>0.4</v>
      </c>
      <c r="AE21" s="35">
        <v>0.4</v>
      </c>
      <c r="AF21" s="154" t="s">
        <v>127</v>
      </c>
      <c r="AG21" s="90"/>
      <c r="AH21" s="38">
        <v>2018</v>
      </c>
      <c r="AI21" s="39">
        <v>2064</v>
      </c>
      <c r="AJ21" s="39">
        <v>2900</v>
      </c>
      <c r="AK21" s="39">
        <v>2775</v>
      </c>
      <c r="AL21" s="39">
        <v>2790</v>
      </c>
      <c r="AM21" s="182"/>
      <c r="AN21" s="40">
        <v>3514</v>
      </c>
      <c r="AO21" s="38">
        <v>76</v>
      </c>
      <c r="AP21" s="39">
        <v>0</v>
      </c>
      <c r="AQ21" s="39">
        <v>66</v>
      </c>
      <c r="AR21" s="39">
        <v>248</v>
      </c>
      <c r="AS21" s="39">
        <v>778</v>
      </c>
      <c r="AT21" s="182"/>
      <c r="AU21" s="40">
        <v>1051</v>
      </c>
      <c r="AV21" s="41">
        <f t="shared" si="39"/>
        <v>3.7661050545094152E-2</v>
      </c>
      <c r="AW21" s="42">
        <f t="shared" si="39"/>
        <v>0</v>
      </c>
      <c r="AX21" s="42">
        <f t="shared" si="39"/>
        <v>2.2758620689655173E-2</v>
      </c>
      <c r="AY21" s="42">
        <f t="shared" si="39"/>
        <v>8.9369369369369372E-2</v>
      </c>
      <c r="AZ21" s="42">
        <f t="shared" si="39"/>
        <v>0.27885304659498206</v>
      </c>
      <c r="BA21" s="183"/>
      <c r="BB21" s="43">
        <f t="shared" si="11"/>
        <v>0.29908935685828114</v>
      </c>
      <c r="BC21" s="41" t="s">
        <v>226</v>
      </c>
      <c r="BD21" s="44">
        <f t="shared" si="34"/>
        <v>-3.7661050545094152</v>
      </c>
      <c r="BE21" s="44">
        <f t="shared" si="34"/>
        <v>-1.4902429855438979</v>
      </c>
      <c r="BF21" s="44">
        <f t="shared" si="34"/>
        <v>5.1708318824275219</v>
      </c>
      <c r="BG21" s="44">
        <f t="shared" si="34"/>
        <v>24.11919960498879</v>
      </c>
      <c r="BH21" s="184"/>
      <c r="BI21" s="45">
        <f t="shared" ref="BI21:BI23" si="41">(BB21-$AV21)*100</f>
        <v>26.142830631318699</v>
      </c>
      <c r="BJ21" s="34" t="s">
        <v>226</v>
      </c>
      <c r="BK21" s="46">
        <f t="shared" si="35"/>
        <v>-3.7661050545094152</v>
      </c>
      <c r="BL21" s="46">
        <f t="shared" si="35"/>
        <v>2.2758620689655173</v>
      </c>
      <c r="BM21" s="46">
        <f t="shared" si="35"/>
        <v>6.6610748679714202</v>
      </c>
      <c r="BN21" s="46">
        <f t="shared" si="35"/>
        <v>18.948367722561269</v>
      </c>
      <c r="BO21" s="185"/>
      <c r="BP21" s="47"/>
      <c r="BQ21" s="41">
        <f t="shared" si="40"/>
        <v>0</v>
      </c>
      <c r="BR21" s="42">
        <f t="shared" si="40"/>
        <v>0</v>
      </c>
      <c r="BS21" s="42">
        <f t="shared" si="40"/>
        <v>0</v>
      </c>
      <c r="BT21" s="183"/>
      <c r="BU21" s="183">
        <f t="shared" si="19"/>
        <v>0</v>
      </c>
      <c r="BV21" s="48"/>
      <c r="BW21" s="48"/>
    </row>
    <row r="22" spans="1:75" x14ac:dyDescent="0.25">
      <c r="A22" s="10">
        <v>64</v>
      </c>
      <c r="B22" s="33" t="s">
        <v>170</v>
      </c>
      <c r="C22" s="34">
        <v>1</v>
      </c>
      <c r="D22" s="35">
        <v>1</v>
      </c>
      <c r="E22" s="35">
        <v>1</v>
      </c>
      <c r="F22" s="93">
        <v>0</v>
      </c>
      <c r="G22" s="36">
        <v>4</v>
      </c>
      <c r="H22" s="34">
        <v>18</v>
      </c>
      <c r="I22" s="35">
        <v>18</v>
      </c>
      <c r="J22" s="35">
        <v>18</v>
      </c>
      <c r="K22" s="93">
        <v>18</v>
      </c>
      <c r="L22" s="36">
        <v>0</v>
      </c>
      <c r="M22" s="34">
        <v>4</v>
      </c>
      <c r="N22" s="35">
        <v>3</v>
      </c>
      <c r="O22" s="35">
        <v>5</v>
      </c>
      <c r="P22" s="93">
        <v>6</v>
      </c>
      <c r="Q22" s="36">
        <v>17</v>
      </c>
      <c r="R22" s="34">
        <v>0</v>
      </c>
      <c r="S22" s="35">
        <v>0</v>
      </c>
      <c r="T22" s="35">
        <v>0</v>
      </c>
      <c r="U22" s="35">
        <v>0</v>
      </c>
      <c r="V22" s="35">
        <v>0</v>
      </c>
      <c r="W22" s="93">
        <v>0</v>
      </c>
      <c r="X22" s="36">
        <v>0</v>
      </c>
      <c r="Y22" s="34">
        <v>7.77</v>
      </c>
      <c r="Z22" s="35">
        <v>15.94</v>
      </c>
      <c r="AA22" s="35">
        <v>18.97</v>
      </c>
      <c r="AB22" s="93">
        <v>15.44</v>
      </c>
      <c r="AC22" s="35">
        <v>15.44</v>
      </c>
      <c r="AD22" s="147"/>
      <c r="AE22" s="35"/>
      <c r="AF22" s="93">
        <v>15.44</v>
      </c>
      <c r="AG22" s="93">
        <v>15.44</v>
      </c>
      <c r="AH22" s="38">
        <v>3485.27</v>
      </c>
      <c r="AI22" s="39">
        <v>3474.25</v>
      </c>
      <c r="AJ22" s="39">
        <v>5561.03</v>
      </c>
      <c r="AK22" s="39">
        <v>6337.48</v>
      </c>
      <c r="AL22" s="39">
        <v>5866.46</v>
      </c>
      <c r="AM22" s="182">
        <v>10535.15</v>
      </c>
      <c r="AN22" s="40">
        <v>12828</v>
      </c>
      <c r="AO22" s="38">
        <v>449.39</v>
      </c>
      <c r="AP22" s="39">
        <v>447.02</v>
      </c>
      <c r="AQ22" s="39">
        <v>390.25</v>
      </c>
      <c r="AR22" s="39">
        <v>437.16</v>
      </c>
      <c r="AS22" s="39">
        <v>554.62</v>
      </c>
      <c r="AT22" s="182">
        <v>679.35</v>
      </c>
      <c r="AU22" s="40">
        <v>1566</v>
      </c>
      <c r="AV22" s="41">
        <f t="shared" si="39"/>
        <v>0.12893979519520726</v>
      </c>
      <c r="AW22" s="42">
        <f t="shared" si="39"/>
        <v>0.12866661869468229</v>
      </c>
      <c r="AX22" s="42">
        <f t="shared" si="39"/>
        <v>7.017584871867262E-2</v>
      </c>
      <c r="AY22" s="42">
        <f t="shared" si="39"/>
        <v>6.8980099345481174E-2</v>
      </c>
      <c r="AZ22" s="42">
        <f t="shared" si="39"/>
        <v>9.4540830415616908E-2</v>
      </c>
      <c r="BA22" s="183">
        <f t="shared" si="39"/>
        <v>6.448413169247709E-2</v>
      </c>
      <c r="BB22" s="43">
        <f t="shared" si="11"/>
        <v>0.12207670720299345</v>
      </c>
      <c r="BC22" s="41" t="s">
        <v>226</v>
      </c>
      <c r="BD22" s="44">
        <f t="shared" si="34"/>
        <v>-2.7317650052496867E-2</v>
      </c>
      <c r="BE22" s="44">
        <f t="shared" si="34"/>
        <v>-5.8763946476534645</v>
      </c>
      <c r="BF22" s="44">
        <f t="shared" si="34"/>
        <v>-5.9959695849726087</v>
      </c>
      <c r="BG22" s="44">
        <f t="shared" si="34"/>
        <v>-3.4398964779590355</v>
      </c>
      <c r="BH22" s="184">
        <f t="shared" si="34"/>
        <v>-6.4455663502730172</v>
      </c>
      <c r="BI22" s="45">
        <f t="shared" si="41"/>
        <v>-0.68630879922138144</v>
      </c>
      <c r="BJ22" s="34" t="s">
        <v>226</v>
      </c>
      <c r="BK22" s="46">
        <f t="shared" si="35"/>
        <v>-2.7317650052496867E-2</v>
      </c>
      <c r="BL22" s="46">
        <f t="shared" si="35"/>
        <v>-5.8490769976009673</v>
      </c>
      <c r="BM22" s="46">
        <f t="shared" si="35"/>
        <v>-0.11957493731914459</v>
      </c>
      <c r="BN22" s="46">
        <f t="shared" si="35"/>
        <v>2.5560731070135736</v>
      </c>
      <c r="BO22" s="185">
        <f t="shared" si="35"/>
        <v>-3.0056698723139821</v>
      </c>
      <c r="BP22" s="47">
        <f t="shared" si="35"/>
        <v>5.7592575510516362</v>
      </c>
      <c r="BQ22" s="41">
        <f t="shared" si="40"/>
        <v>0</v>
      </c>
      <c r="BR22" s="42">
        <f t="shared" si="40"/>
        <v>0</v>
      </c>
      <c r="BS22" s="42">
        <f t="shared" si="40"/>
        <v>0</v>
      </c>
      <c r="BT22" s="183">
        <f t="shared" si="40"/>
        <v>0</v>
      </c>
      <c r="BU22" s="183">
        <f t="shared" si="19"/>
        <v>0</v>
      </c>
      <c r="BV22" s="48">
        <f t="shared" ref="BV22" si="42">(AG22-AF22)/AF22</f>
        <v>0</v>
      </c>
      <c r="BW22" s="48">
        <f t="shared" ref="BW22" si="43">(Q22-P22)/P22</f>
        <v>1.8333333333333333</v>
      </c>
    </row>
    <row r="23" spans="1:75" x14ac:dyDescent="0.25">
      <c r="A23" s="10">
        <v>66</v>
      </c>
      <c r="B23" s="33" t="s">
        <v>174</v>
      </c>
      <c r="C23" s="34">
        <v>0</v>
      </c>
      <c r="D23" s="35">
        <v>0</v>
      </c>
      <c r="E23" s="35">
        <v>0</v>
      </c>
      <c r="F23" s="93">
        <v>0</v>
      </c>
      <c r="G23" s="36">
        <v>0</v>
      </c>
      <c r="H23" s="34">
        <v>46</v>
      </c>
      <c r="I23" s="35">
        <v>46</v>
      </c>
      <c r="J23" s="35">
        <v>47</v>
      </c>
      <c r="K23" s="93">
        <v>47</v>
      </c>
      <c r="L23" s="36">
        <v>44</v>
      </c>
      <c r="M23" s="34">
        <v>19</v>
      </c>
      <c r="N23" s="35">
        <v>16</v>
      </c>
      <c r="O23" s="35">
        <v>13</v>
      </c>
      <c r="P23" s="93">
        <v>15</v>
      </c>
      <c r="Q23" s="36">
        <v>13</v>
      </c>
      <c r="R23" s="34">
        <v>0</v>
      </c>
      <c r="S23" s="35">
        <v>0</v>
      </c>
      <c r="T23" s="35">
        <v>0</v>
      </c>
      <c r="U23" s="35">
        <v>0</v>
      </c>
      <c r="V23" s="35">
        <v>0</v>
      </c>
      <c r="W23" s="93">
        <v>0</v>
      </c>
      <c r="X23" s="36">
        <v>0</v>
      </c>
      <c r="Y23" s="34"/>
      <c r="Z23" s="35">
        <v>18.670000000000002</v>
      </c>
      <c r="AA23" s="89">
        <v>21.8</v>
      </c>
      <c r="AB23" s="154">
        <v>21.8</v>
      </c>
      <c r="AC23" s="89">
        <v>21.8</v>
      </c>
      <c r="AD23" s="147"/>
      <c r="AE23" s="35"/>
      <c r="AF23" s="154">
        <v>21.8</v>
      </c>
      <c r="AG23" s="154">
        <v>21.8</v>
      </c>
      <c r="AH23" s="38">
        <v>8230.39</v>
      </c>
      <c r="AI23" s="39">
        <v>10270.69</v>
      </c>
      <c r="AJ23" s="39">
        <v>12585.08</v>
      </c>
      <c r="AK23" s="39">
        <v>14068.02</v>
      </c>
      <c r="AL23" s="39">
        <v>14277.35</v>
      </c>
      <c r="AM23" s="182">
        <v>13800</v>
      </c>
      <c r="AN23" s="40">
        <v>13400</v>
      </c>
      <c r="AO23" s="38">
        <v>1946.94</v>
      </c>
      <c r="AP23" s="39">
        <v>2996.19</v>
      </c>
      <c r="AQ23" s="39">
        <v>3315.92</v>
      </c>
      <c r="AR23" s="39">
        <v>4252.38</v>
      </c>
      <c r="AS23" s="39">
        <v>5368.01</v>
      </c>
      <c r="AT23" s="182">
        <v>4506</v>
      </c>
      <c r="AU23" s="40">
        <v>1960</v>
      </c>
      <c r="AV23" s="41">
        <f t="shared" ref="AV23:BA23" si="44">AO23/AH23</f>
        <v>0.23655501136641158</v>
      </c>
      <c r="AW23" s="42">
        <f t="shared" si="44"/>
        <v>0.29172236724114931</v>
      </c>
      <c r="AX23" s="42">
        <f t="shared" si="44"/>
        <v>0.26348024803974229</v>
      </c>
      <c r="AY23" s="42">
        <f t="shared" si="44"/>
        <v>0.30227281451121052</v>
      </c>
      <c r="AZ23" s="42">
        <f t="shared" si="44"/>
        <v>0.37598083677993466</v>
      </c>
      <c r="BA23" s="183">
        <f t="shared" si="44"/>
        <v>0.32652173913043481</v>
      </c>
      <c r="BB23" s="43">
        <f t="shared" si="11"/>
        <v>0.14626865671641792</v>
      </c>
      <c r="BC23" s="41" t="s">
        <v>226</v>
      </c>
      <c r="BD23" s="44">
        <f t="shared" ref="BD23:BH23" si="45">(AW23-$AV23)*100</f>
        <v>5.5167355874737725</v>
      </c>
      <c r="BE23" s="44">
        <f t="shared" si="45"/>
        <v>2.6925236673330715</v>
      </c>
      <c r="BF23" s="44">
        <f t="shared" si="45"/>
        <v>6.5717803144798941</v>
      </c>
      <c r="BG23" s="44">
        <f t="shared" si="45"/>
        <v>13.942582541352309</v>
      </c>
      <c r="BH23" s="184">
        <f t="shared" si="45"/>
        <v>8.9966727764023222</v>
      </c>
      <c r="BI23" s="45">
        <f t="shared" si="41"/>
        <v>-9.0286354649993648</v>
      </c>
      <c r="BJ23" s="34" t="s">
        <v>226</v>
      </c>
      <c r="BK23" s="46">
        <f t="shared" ref="BK23:BO23" si="46">(AW23-AV23)*100</f>
        <v>5.5167355874737725</v>
      </c>
      <c r="BL23" s="46">
        <f t="shared" si="46"/>
        <v>-2.8242119201407014</v>
      </c>
      <c r="BM23" s="46">
        <f t="shared" si="46"/>
        <v>3.8792566471468226</v>
      </c>
      <c r="BN23" s="46">
        <f t="shared" si="46"/>
        <v>7.3708022268724136</v>
      </c>
      <c r="BO23" s="185">
        <f t="shared" si="46"/>
        <v>-4.9459097649499846</v>
      </c>
      <c r="BP23" s="47">
        <f t="shared" si="16"/>
        <v>-18.025308241401689</v>
      </c>
      <c r="BQ23" s="41">
        <f t="shared" ref="BQ23:BT23" si="47">T23/M23</f>
        <v>0</v>
      </c>
      <c r="BR23" s="42">
        <f t="shared" si="47"/>
        <v>0</v>
      </c>
      <c r="BS23" s="42">
        <f t="shared" si="47"/>
        <v>0</v>
      </c>
      <c r="BT23" s="183">
        <f t="shared" si="47"/>
        <v>0</v>
      </c>
      <c r="BU23" s="183">
        <f t="shared" si="19"/>
        <v>0</v>
      </c>
      <c r="BV23" s="48">
        <f t="shared" ref="BV23" si="48">(AG23-AF23)/AF23</f>
        <v>0</v>
      </c>
      <c r="BW23" s="48">
        <f t="shared" si="20"/>
        <v>-0.13333333333333333</v>
      </c>
    </row>
    <row r="24" spans="1:75" x14ac:dyDescent="0.25">
      <c r="A24" s="10">
        <v>66</v>
      </c>
      <c r="B24" s="92" t="s">
        <v>331</v>
      </c>
      <c r="C24" s="34"/>
      <c r="D24" s="35"/>
      <c r="E24" s="35"/>
      <c r="F24" s="93">
        <v>0</v>
      </c>
      <c r="G24" s="93"/>
      <c r="H24" s="34"/>
      <c r="I24" s="35"/>
      <c r="J24" s="35"/>
      <c r="K24" s="93">
        <v>125</v>
      </c>
      <c r="L24" s="36"/>
      <c r="M24" s="34"/>
      <c r="N24" s="35"/>
      <c r="O24" s="35"/>
      <c r="P24" s="93">
        <v>36</v>
      </c>
      <c r="Q24" s="36"/>
      <c r="R24" s="34"/>
      <c r="S24" s="35"/>
      <c r="T24" s="35"/>
      <c r="U24" s="35"/>
      <c r="V24" s="35"/>
      <c r="W24" s="93">
        <v>0</v>
      </c>
      <c r="X24" s="36"/>
      <c r="Y24" s="34"/>
      <c r="Z24" s="89"/>
      <c r="AA24" s="35"/>
      <c r="AB24" s="93"/>
      <c r="AC24" s="35"/>
      <c r="AD24" s="147"/>
      <c r="AE24" s="35"/>
      <c r="AF24" s="89"/>
      <c r="AG24" s="90"/>
      <c r="AH24" s="38"/>
      <c r="AI24" s="39"/>
      <c r="AJ24" s="39"/>
      <c r="AK24" s="39"/>
      <c r="AL24" s="39"/>
      <c r="AM24" s="39">
        <v>34258</v>
      </c>
      <c r="AN24" s="40"/>
      <c r="AO24" s="38"/>
      <c r="AP24" s="39"/>
      <c r="AQ24" s="39"/>
      <c r="AR24" s="39"/>
      <c r="AS24" s="39"/>
      <c r="AT24" s="182">
        <v>5667</v>
      </c>
      <c r="AU24" s="40"/>
      <c r="AV24" s="41"/>
      <c r="AW24" s="42"/>
      <c r="AX24" s="42"/>
      <c r="AY24" s="42"/>
      <c r="AZ24" s="42"/>
      <c r="BA24" s="183">
        <v>0.17</v>
      </c>
      <c r="BB24" s="183"/>
      <c r="BC24" s="41"/>
      <c r="BD24" s="44"/>
      <c r="BE24" s="44"/>
      <c r="BF24" s="44"/>
      <c r="BG24" s="44"/>
      <c r="BH24" s="184"/>
      <c r="BI24" s="184"/>
      <c r="BJ24" s="34"/>
      <c r="BK24" s="46"/>
      <c r="BL24" s="46"/>
      <c r="BM24" s="46"/>
      <c r="BN24" s="46"/>
      <c r="BO24" s="185"/>
      <c r="BP24" s="185"/>
      <c r="BQ24" s="41"/>
      <c r="BR24" s="42"/>
      <c r="BS24" s="42"/>
      <c r="BT24" s="183">
        <f>W24/P24</f>
        <v>0</v>
      </c>
      <c r="BU24" s="183"/>
      <c r="BV24" s="48"/>
      <c r="BW24" s="48"/>
    </row>
    <row r="25" spans="1:75" x14ac:dyDescent="0.25">
      <c r="A25" s="10">
        <v>68</v>
      </c>
      <c r="B25" s="33" t="s">
        <v>36</v>
      </c>
      <c r="C25" s="34">
        <v>24</v>
      </c>
      <c r="D25" s="35">
        <v>24</v>
      </c>
      <c r="E25" s="93">
        <v>24</v>
      </c>
      <c r="F25" s="93"/>
      <c r="G25" s="93"/>
      <c r="H25" s="34">
        <v>2</v>
      </c>
      <c r="I25" s="35">
        <v>2</v>
      </c>
      <c r="J25" s="93">
        <v>2</v>
      </c>
      <c r="K25" s="93"/>
      <c r="L25" s="36"/>
      <c r="M25" s="34">
        <v>159</v>
      </c>
      <c r="N25" s="35">
        <v>181</v>
      </c>
      <c r="O25" s="93">
        <v>225</v>
      </c>
      <c r="P25" s="93"/>
      <c r="Q25" s="36"/>
      <c r="R25" s="34">
        <v>5</v>
      </c>
      <c r="S25" s="35">
        <v>0</v>
      </c>
      <c r="T25" s="35">
        <v>1</v>
      </c>
      <c r="U25" s="35">
        <v>4</v>
      </c>
      <c r="V25" s="93">
        <v>1</v>
      </c>
      <c r="W25" s="93"/>
      <c r="X25" s="36"/>
      <c r="Y25" s="34">
        <v>24.16</v>
      </c>
      <c r="Z25" s="35">
        <v>24.16</v>
      </c>
      <c r="AA25" s="35">
        <v>37.93</v>
      </c>
      <c r="AB25" s="35">
        <v>36.07</v>
      </c>
      <c r="AC25" s="35">
        <v>38.89</v>
      </c>
      <c r="AD25" s="147"/>
      <c r="AE25" s="37"/>
      <c r="AF25" s="35"/>
      <c r="AG25" s="36"/>
      <c r="AH25" s="38">
        <v>133398.19</v>
      </c>
      <c r="AI25" s="39">
        <v>129665.48</v>
      </c>
      <c r="AJ25" s="39">
        <v>161389.82999999999</v>
      </c>
      <c r="AK25" s="39">
        <v>200681.78</v>
      </c>
      <c r="AL25" s="182">
        <v>178496.23</v>
      </c>
      <c r="AM25" s="39"/>
      <c r="AN25" s="40"/>
      <c r="AO25" s="38">
        <v>8005.55</v>
      </c>
      <c r="AP25" s="39">
        <v>8602.01</v>
      </c>
      <c r="AQ25" s="39">
        <v>13171.77</v>
      </c>
      <c r="AR25" s="39">
        <v>20207.46</v>
      </c>
      <c r="AS25" s="182">
        <v>32141.18</v>
      </c>
      <c r="AT25" s="182"/>
      <c r="AU25" s="40"/>
      <c r="AV25" s="41">
        <f t="shared" ref="AV25:AZ27" si="49">AO25/AH25</f>
        <v>6.0012433452058082E-2</v>
      </c>
      <c r="AW25" s="42">
        <f t="shared" si="49"/>
        <v>6.6340015862355967E-2</v>
      </c>
      <c r="AX25" s="42">
        <f t="shared" si="49"/>
        <v>8.1614622185301272E-2</v>
      </c>
      <c r="AY25" s="42">
        <f t="shared" si="49"/>
        <v>0.100694044073159</v>
      </c>
      <c r="AZ25" s="183">
        <f t="shared" si="49"/>
        <v>0.18006643613705453</v>
      </c>
      <c r="BA25" s="183"/>
      <c r="BB25" s="183"/>
      <c r="BC25" s="41" t="s">
        <v>226</v>
      </c>
      <c r="BD25" s="44">
        <f t="shared" si="34"/>
        <v>0.63275824102978839</v>
      </c>
      <c r="BE25" s="44">
        <f t="shared" si="34"/>
        <v>2.1602188733243191</v>
      </c>
      <c r="BF25" s="44">
        <f t="shared" si="34"/>
        <v>4.0681610621100921</v>
      </c>
      <c r="BG25" s="184">
        <f t="shared" si="34"/>
        <v>12.005400268499644</v>
      </c>
      <c r="BH25" s="184"/>
      <c r="BI25" s="184"/>
      <c r="BJ25" s="34" t="s">
        <v>226</v>
      </c>
      <c r="BK25" s="46">
        <f t="shared" si="35"/>
        <v>0.63275824102978839</v>
      </c>
      <c r="BL25" s="46">
        <f t="shared" si="35"/>
        <v>1.5274606322945306</v>
      </c>
      <c r="BM25" s="46">
        <f t="shared" si="35"/>
        <v>1.907942188785773</v>
      </c>
      <c r="BN25" s="185">
        <f t="shared" si="35"/>
        <v>7.9372392063895525</v>
      </c>
      <c r="BO25" s="185"/>
      <c r="BP25" s="185"/>
      <c r="BQ25" s="41">
        <f>T25/M25</f>
        <v>6.2893081761006293E-3</v>
      </c>
      <c r="BR25" s="42">
        <f>U25/N25</f>
        <v>2.2099447513812154E-2</v>
      </c>
      <c r="BS25" s="183">
        <f>V25/O25</f>
        <v>4.4444444444444444E-3</v>
      </c>
      <c r="BT25" s="183"/>
      <c r="BU25" s="183"/>
      <c r="BV25" s="48"/>
      <c r="BW25" s="48"/>
    </row>
    <row r="26" spans="1:75" x14ac:dyDescent="0.25">
      <c r="A26" s="10">
        <v>68</v>
      </c>
      <c r="B26" s="33" t="s">
        <v>175</v>
      </c>
      <c r="C26" s="34">
        <v>9</v>
      </c>
      <c r="D26" s="35">
        <v>11</v>
      </c>
      <c r="E26" s="93">
        <v>11</v>
      </c>
      <c r="F26" s="93"/>
      <c r="G26" s="93"/>
      <c r="H26" s="34"/>
      <c r="I26" s="35"/>
      <c r="J26" s="93"/>
      <c r="K26" s="93"/>
      <c r="L26" s="36"/>
      <c r="M26" s="34"/>
      <c r="N26" s="35"/>
      <c r="O26" s="93"/>
      <c r="P26" s="93"/>
      <c r="Q26" s="36"/>
      <c r="R26" s="34">
        <v>10</v>
      </c>
      <c r="S26" s="35">
        <v>6</v>
      </c>
      <c r="T26" s="35">
        <v>13</v>
      </c>
      <c r="U26" s="35">
        <v>6</v>
      </c>
      <c r="V26" s="93">
        <v>12</v>
      </c>
      <c r="W26" s="93"/>
      <c r="X26" s="36"/>
      <c r="Y26" s="34">
        <v>25.55</v>
      </c>
      <c r="Z26" s="35">
        <v>26.13</v>
      </c>
      <c r="AA26" s="35">
        <v>61.06</v>
      </c>
      <c r="AB26" s="35">
        <v>50.35</v>
      </c>
      <c r="AC26" s="35">
        <v>43.34</v>
      </c>
      <c r="AD26" s="147"/>
      <c r="AE26" s="37"/>
      <c r="AF26" s="35"/>
      <c r="AG26" s="36"/>
      <c r="AH26" s="38">
        <v>52545.54</v>
      </c>
      <c r="AI26" s="39">
        <v>55163.99</v>
      </c>
      <c r="AJ26" s="39">
        <v>59753.62</v>
      </c>
      <c r="AK26" s="39">
        <v>81358.539999999994</v>
      </c>
      <c r="AL26" s="182">
        <v>106214.18</v>
      </c>
      <c r="AM26" s="39"/>
      <c r="AN26" s="40"/>
      <c r="AO26" s="38">
        <v>2938.33</v>
      </c>
      <c r="AP26" s="39">
        <v>721.27</v>
      </c>
      <c r="AQ26" s="39">
        <v>2503.15</v>
      </c>
      <c r="AR26" s="39">
        <v>13840.12</v>
      </c>
      <c r="AS26" s="182">
        <v>24197.52</v>
      </c>
      <c r="AT26" s="182"/>
      <c r="AU26" s="40"/>
      <c r="AV26" s="41">
        <f t="shared" si="49"/>
        <v>5.5919684144458311E-2</v>
      </c>
      <c r="AW26" s="42">
        <f t="shared" si="49"/>
        <v>1.3075015059643076E-2</v>
      </c>
      <c r="AX26" s="42">
        <f t="shared" si="49"/>
        <v>4.1891185839452068E-2</v>
      </c>
      <c r="AY26" s="42">
        <f t="shared" si="49"/>
        <v>0.1701126888461863</v>
      </c>
      <c r="AZ26" s="183">
        <f t="shared" si="49"/>
        <v>0.22781816891115669</v>
      </c>
      <c r="BA26" s="183"/>
      <c r="BB26" s="183"/>
      <c r="BC26" s="41" t="s">
        <v>226</v>
      </c>
      <c r="BD26" s="44">
        <f t="shared" si="34"/>
        <v>-4.284466908481523</v>
      </c>
      <c r="BE26" s="44">
        <f t="shared" si="34"/>
        <v>-1.4028498305006243</v>
      </c>
      <c r="BF26" s="44">
        <f t="shared" si="34"/>
        <v>11.4193004701728</v>
      </c>
      <c r="BG26" s="184">
        <f t="shared" si="34"/>
        <v>17.189848476669837</v>
      </c>
      <c r="BH26" s="184"/>
      <c r="BI26" s="184"/>
      <c r="BJ26" s="34" t="s">
        <v>226</v>
      </c>
      <c r="BK26" s="46">
        <f t="shared" si="35"/>
        <v>-4.284466908481523</v>
      </c>
      <c r="BL26" s="46">
        <f t="shared" si="35"/>
        <v>2.8816170779808989</v>
      </c>
      <c r="BM26" s="46">
        <f t="shared" si="35"/>
        <v>12.822150300673425</v>
      </c>
      <c r="BN26" s="185">
        <f t="shared" si="35"/>
        <v>5.7705480064970391</v>
      </c>
      <c r="BO26" s="185"/>
      <c r="BP26" s="185"/>
      <c r="BQ26" s="41"/>
      <c r="BR26" s="42"/>
      <c r="BS26" s="183"/>
      <c r="BT26" s="183"/>
      <c r="BU26" s="183"/>
      <c r="BV26" s="48"/>
      <c r="BW26" s="48"/>
    </row>
    <row r="27" spans="1:75" s="23" customFormat="1" x14ac:dyDescent="0.25">
      <c r="A27" s="10">
        <v>69</v>
      </c>
      <c r="B27" s="33" t="s">
        <v>37</v>
      </c>
      <c r="C27" s="34">
        <v>0</v>
      </c>
      <c r="D27" s="35">
        <v>0</v>
      </c>
      <c r="E27" s="93">
        <v>0</v>
      </c>
      <c r="F27" s="93"/>
      <c r="G27" s="93"/>
      <c r="H27" s="34">
        <v>4</v>
      </c>
      <c r="I27" s="35">
        <v>5</v>
      </c>
      <c r="J27" s="93">
        <v>5</v>
      </c>
      <c r="K27" s="93"/>
      <c r="L27" s="36"/>
      <c r="M27" s="34">
        <v>1</v>
      </c>
      <c r="N27" s="35">
        <v>1</v>
      </c>
      <c r="O27" s="93">
        <v>0</v>
      </c>
      <c r="P27" s="93"/>
      <c r="Q27" s="36"/>
      <c r="R27" s="34">
        <v>0</v>
      </c>
      <c r="S27" s="35">
        <v>0</v>
      </c>
      <c r="T27" s="35">
        <v>0</v>
      </c>
      <c r="U27" s="35">
        <v>0</v>
      </c>
      <c r="V27" s="93">
        <v>0</v>
      </c>
      <c r="W27" s="93"/>
      <c r="X27" s="36"/>
      <c r="Y27" s="34"/>
      <c r="Z27" s="35"/>
      <c r="AA27" s="35"/>
      <c r="AB27" s="35"/>
      <c r="AC27" s="35"/>
      <c r="AD27" s="147"/>
      <c r="AE27" s="93"/>
      <c r="AF27" s="35"/>
      <c r="AG27" s="36"/>
      <c r="AH27" s="34">
        <v>533</v>
      </c>
      <c r="AI27" s="35">
        <v>533</v>
      </c>
      <c r="AJ27" s="35">
        <v>674</v>
      </c>
      <c r="AK27" s="39">
        <v>674</v>
      </c>
      <c r="AL27" s="182">
        <v>674</v>
      </c>
      <c r="AM27" s="39"/>
      <c r="AN27" s="40"/>
      <c r="AO27" s="38">
        <v>0</v>
      </c>
      <c r="AP27" s="39">
        <v>0</v>
      </c>
      <c r="AQ27" s="39">
        <v>108</v>
      </c>
      <c r="AR27" s="39">
        <v>111</v>
      </c>
      <c r="AS27" s="182">
        <v>10</v>
      </c>
      <c r="AT27" s="182"/>
      <c r="AU27" s="40"/>
      <c r="AV27" s="41">
        <f t="shared" si="49"/>
        <v>0</v>
      </c>
      <c r="AW27" s="42">
        <f t="shared" si="49"/>
        <v>0</v>
      </c>
      <c r="AX27" s="42">
        <f t="shared" si="49"/>
        <v>0.16023738872403562</v>
      </c>
      <c r="AY27" s="42">
        <f t="shared" si="49"/>
        <v>0.16468842729970326</v>
      </c>
      <c r="AZ27" s="183">
        <f t="shared" si="49"/>
        <v>1.483679525222552E-2</v>
      </c>
      <c r="BA27" s="183"/>
      <c r="BB27" s="183"/>
      <c r="BC27" s="41"/>
      <c r="BD27" s="44">
        <f t="shared" si="34"/>
        <v>0</v>
      </c>
      <c r="BE27" s="44">
        <f t="shared" si="34"/>
        <v>16.023738872403563</v>
      </c>
      <c r="BF27" s="44">
        <f t="shared" si="34"/>
        <v>16.468842729970326</v>
      </c>
      <c r="BG27" s="184">
        <f t="shared" si="34"/>
        <v>1.4836795252225521</v>
      </c>
      <c r="BH27" s="184"/>
      <c r="BI27" s="184"/>
      <c r="BJ27" s="34" t="s">
        <v>226</v>
      </c>
      <c r="BK27" s="46">
        <f t="shared" si="35"/>
        <v>0</v>
      </c>
      <c r="BL27" s="46">
        <f t="shared" si="35"/>
        <v>16.023738872403563</v>
      </c>
      <c r="BM27" s="46">
        <f t="shared" si="35"/>
        <v>0.44510385756676429</v>
      </c>
      <c r="BN27" s="185">
        <f t="shared" si="35"/>
        <v>-14.985163204747773</v>
      </c>
      <c r="BO27" s="185"/>
      <c r="BP27" s="185"/>
      <c r="BQ27" s="41">
        <f>T27/M27</f>
        <v>0</v>
      </c>
      <c r="BR27" s="42">
        <f>U27/N27</f>
        <v>0</v>
      </c>
      <c r="BS27" s="183"/>
      <c r="BT27" s="183"/>
      <c r="BU27" s="183"/>
      <c r="BV27" s="48"/>
      <c r="BW27" s="48"/>
    </row>
    <row r="28" spans="1:75" x14ac:dyDescent="0.25">
      <c r="A28" s="10">
        <v>76</v>
      </c>
      <c r="B28" s="33" t="s">
        <v>268</v>
      </c>
      <c r="C28" s="34">
        <v>5</v>
      </c>
      <c r="D28" s="35">
        <v>5</v>
      </c>
      <c r="E28" s="93">
        <v>5</v>
      </c>
      <c r="F28" s="93"/>
      <c r="G28" s="93"/>
      <c r="H28" s="34">
        <v>35</v>
      </c>
      <c r="I28" s="35">
        <v>36</v>
      </c>
      <c r="J28" s="93">
        <v>36</v>
      </c>
      <c r="K28" s="93"/>
      <c r="L28" s="36"/>
      <c r="M28" s="34">
        <v>6</v>
      </c>
      <c r="N28" s="35">
        <v>5</v>
      </c>
      <c r="O28" s="93">
        <v>11</v>
      </c>
      <c r="P28" s="93"/>
      <c r="Q28" s="36"/>
      <c r="R28" s="34">
        <v>0</v>
      </c>
      <c r="S28" s="35">
        <v>0</v>
      </c>
      <c r="T28" s="35">
        <v>0</v>
      </c>
      <c r="U28" s="35">
        <v>0</v>
      </c>
      <c r="V28" s="93">
        <v>0</v>
      </c>
      <c r="W28" s="93"/>
      <c r="X28" s="36"/>
      <c r="Y28" s="34" t="s">
        <v>87</v>
      </c>
      <c r="Z28" s="35" t="s">
        <v>88</v>
      </c>
      <c r="AA28" s="35" t="s">
        <v>88</v>
      </c>
      <c r="AB28" s="35" t="s">
        <v>89</v>
      </c>
      <c r="AC28" s="35" t="s">
        <v>90</v>
      </c>
      <c r="AD28" s="147">
        <v>0.52</v>
      </c>
      <c r="AE28" s="37">
        <v>0.59</v>
      </c>
      <c r="AF28" s="35"/>
      <c r="AG28" s="36"/>
      <c r="AH28" s="38">
        <v>4000</v>
      </c>
      <c r="AI28" s="39">
        <v>4030</v>
      </c>
      <c r="AJ28" s="39">
        <v>5038</v>
      </c>
      <c r="AK28" s="39">
        <v>5068</v>
      </c>
      <c r="AL28" s="182">
        <v>4766</v>
      </c>
      <c r="AM28" s="39"/>
      <c r="AN28" s="40"/>
      <c r="AO28" s="38">
        <v>450</v>
      </c>
      <c r="AP28" s="39">
        <v>500</v>
      </c>
      <c r="AQ28" s="39">
        <v>594</v>
      </c>
      <c r="AR28" s="39">
        <v>495</v>
      </c>
      <c r="AS28" s="182">
        <v>2296</v>
      </c>
      <c r="AT28" s="182"/>
      <c r="AU28" s="40"/>
      <c r="AV28" s="41">
        <f t="shared" ref="AV28:AZ36" si="50">AO28/AH28</f>
        <v>0.1125</v>
      </c>
      <c r="AW28" s="42">
        <f t="shared" si="50"/>
        <v>0.12406947890818859</v>
      </c>
      <c r="AX28" s="42">
        <f t="shared" si="50"/>
        <v>0.11790393013100436</v>
      </c>
      <c r="AY28" s="42">
        <f t="shared" si="50"/>
        <v>9.7671665351223361E-2</v>
      </c>
      <c r="AZ28" s="183">
        <f t="shared" si="50"/>
        <v>0.48174569869911876</v>
      </c>
      <c r="BA28" s="183"/>
      <c r="BB28" s="183"/>
      <c r="BC28" s="41" t="s">
        <v>226</v>
      </c>
      <c r="BD28" s="44">
        <f t="shared" si="34"/>
        <v>1.1569478908188588</v>
      </c>
      <c r="BE28" s="44">
        <f t="shared" si="34"/>
        <v>0.54039301310043619</v>
      </c>
      <c r="BF28" s="44">
        <f t="shared" si="34"/>
        <v>-1.4828334648776642</v>
      </c>
      <c r="BG28" s="184">
        <f t="shared" si="34"/>
        <v>36.924569869911878</v>
      </c>
      <c r="BH28" s="184"/>
      <c r="BI28" s="184"/>
      <c r="BJ28" s="34" t="s">
        <v>226</v>
      </c>
      <c r="BK28" s="46">
        <f t="shared" ref="BK28:BN29" si="51">(AW28-AV28)*100</f>
        <v>1.1569478908188588</v>
      </c>
      <c r="BL28" s="46">
        <f t="shared" si="51"/>
        <v>-0.61655487771842266</v>
      </c>
      <c r="BM28" s="46">
        <f t="shared" si="51"/>
        <v>-2.0232264779781004</v>
      </c>
      <c r="BN28" s="185">
        <f t="shared" si="51"/>
        <v>38.407403334789542</v>
      </c>
      <c r="BO28" s="185"/>
      <c r="BP28" s="185"/>
      <c r="BQ28" s="41">
        <f t="shared" ref="BQ28:BS30" si="52">T28/M28</f>
        <v>0</v>
      </c>
      <c r="BR28" s="42">
        <f t="shared" si="52"/>
        <v>0</v>
      </c>
      <c r="BS28" s="183">
        <f t="shared" si="52"/>
        <v>0</v>
      </c>
      <c r="BT28" s="183"/>
      <c r="BU28" s="183"/>
      <c r="BV28" s="48"/>
      <c r="BW28" s="48"/>
    </row>
    <row r="29" spans="1:75" x14ac:dyDescent="0.25">
      <c r="A29" s="10">
        <v>76</v>
      </c>
      <c r="B29" s="33" t="s">
        <v>269</v>
      </c>
      <c r="C29" s="34">
        <v>0</v>
      </c>
      <c r="D29" s="35">
        <v>0</v>
      </c>
      <c r="E29" s="35">
        <v>0</v>
      </c>
      <c r="F29" s="93"/>
      <c r="G29" s="36">
        <v>0</v>
      </c>
      <c r="H29" s="34">
        <v>40</v>
      </c>
      <c r="I29" s="35">
        <v>38</v>
      </c>
      <c r="J29" s="35">
        <v>38</v>
      </c>
      <c r="K29" s="93"/>
      <c r="L29" s="36">
        <v>36</v>
      </c>
      <c r="M29" s="34">
        <v>12</v>
      </c>
      <c r="N29" s="35">
        <v>17</v>
      </c>
      <c r="O29" s="35">
        <v>15</v>
      </c>
      <c r="P29" s="93"/>
      <c r="Q29" s="36">
        <v>13</v>
      </c>
      <c r="R29" s="34">
        <v>0</v>
      </c>
      <c r="S29" s="35">
        <v>0</v>
      </c>
      <c r="T29" s="35">
        <v>0</v>
      </c>
      <c r="U29" s="35">
        <v>0</v>
      </c>
      <c r="V29" s="35">
        <v>0</v>
      </c>
      <c r="W29" s="93"/>
      <c r="X29" s="36">
        <v>0</v>
      </c>
      <c r="Y29" s="34" t="s">
        <v>91</v>
      </c>
      <c r="Z29" s="35" t="s">
        <v>91</v>
      </c>
      <c r="AA29" s="35" t="s">
        <v>127</v>
      </c>
      <c r="AB29" s="93" t="s">
        <v>127</v>
      </c>
      <c r="AC29" s="35" t="s">
        <v>127</v>
      </c>
      <c r="AD29" s="147">
        <v>0.6</v>
      </c>
      <c r="AE29" s="35">
        <v>0.6</v>
      </c>
      <c r="AF29" s="154"/>
      <c r="AG29" s="90" t="s">
        <v>421</v>
      </c>
      <c r="AH29" s="38">
        <v>5658</v>
      </c>
      <c r="AI29" s="39">
        <v>6119</v>
      </c>
      <c r="AJ29" s="39">
        <v>6496</v>
      </c>
      <c r="AK29" s="39">
        <v>7833</v>
      </c>
      <c r="AL29" s="39">
        <v>5797</v>
      </c>
      <c r="AM29" s="182"/>
      <c r="AN29" s="40">
        <v>8483.4699999999993</v>
      </c>
      <c r="AO29" s="38">
        <v>61.6</v>
      </c>
      <c r="AP29" s="39">
        <v>51.21</v>
      </c>
      <c r="AQ29" s="39">
        <v>156.47999999999999</v>
      </c>
      <c r="AR29" s="39">
        <v>1389.82</v>
      </c>
      <c r="AS29" s="39">
        <v>461.38</v>
      </c>
      <c r="AT29" s="182"/>
      <c r="AU29" s="40">
        <v>725.87</v>
      </c>
      <c r="AV29" s="41">
        <f t="shared" si="50"/>
        <v>1.0887239307175681E-2</v>
      </c>
      <c r="AW29" s="42">
        <f t="shared" si="50"/>
        <v>8.3690145448602708E-3</v>
      </c>
      <c r="AX29" s="42">
        <f t="shared" si="50"/>
        <v>2.4088669950738915E-2</v>
      </c>
      <c r="AY29" s="42">
        <f t="shared" si="50"/>
        <v>0.17743138005872588</v>
      </c>
      <c r="AZ29" s="42">
        <f t="shared" si="50"/>
        <v>7.9589442815249267E-2</v>
      </c>
      <c r="BA29" s="183"/>
      <c r="BB29" s="43">
        <f t="shared" si="11"/>
        <v>8.5562865195491944E-2</v>
      </c>
      <c r="BC29" s="41" t="s">
        <v>226</v>
      </c>
      <c r="BD29" s="44">
        <f>(AW29-$AV29)*100</f>
        <v>-0.25182247623154097</v>
      </c>
      <c r="BE29" s="44">
        <f>(AX29-$AV29)*100</f>
        <v>1.3201430643563234</v>
      </c>
      <c r="BF29" s="44">
        <f t="shared" ref="BF29:BG29" si="53">(AY29-$AV29)*100</f>
        <v>16.654414075155021</v>
      </c>
      <c r="BG29" s="44">
        <f t="shared" si="53"/>
        <v>6.8702203508073589</v>
      </c>
      <c r="BH29" s="184"/>
      <c r="BI29" s="45">
        <f t="shared" ref="BI29:BI46" si="54">(BB29-$AV29)*100</f>
        <v>7.4675625888316262</v>
      </c>
      <c r="BJ29" s="34" t="s">
        <v>226</v>
      </c>
      <c r="BK29" s="46">
        <f t="shared" si="51"/>
        <v>-0.25182247623154097</v>
      </c>
      <c r="BL29" s="46">
        <f t="shared" si="51"/>
        <v>1.5719655405878643</v>
      </c>
      <c r="BM29" s="46">
        <f t="shared" si="51"/>
        <v>15.334271010798698</v>
      </c>
      <c r="BN29" s="46">
        <f t="shared" si="51"/>
        <v>-9.7841937243476611</v>
      </c>
      <c r="BO29" s="185"/>
      <c r="BP29" s="47"/>
      <c r="BQ29" s="41">
        <f t="shared" si="52"/>
        <v>0</v>
      </c>
      <c r="BR29" s="42">
        <f t="shared" si="52"/>
        <v>0</v>
      </c>
      <c r="BS29" s="42">
        <f t="shared" si="52"/>
        <v>0</v>
      </c>
      <c r="BT29" s="183"/>
      <c r="BU29" s="183">
        <f t="shared" si="19"/>
        <v>0</v>
      </c>
      <c r="BV29" s="48"/>
      <c r="BW29" s="48"/>
    </row>
    <row r="30" spans="1:75" x14ac:dyDescent="0.25">
      <c r="A30" s="10">
        <v>76</v>
      </c>
      <c r="B30" s="33" t="s">
        <v>270</v>
      </c>
      <c r="C30" s="34">
        <v>2</v>
      </c>
      <c r="D30" s="35">
        <v>2</v>
      </c>
      <c r="E30" s="93">
        <v>2</v>
      </c>
      <c r="F30" s="93"/>
      <c r="G30" s="93"/>
      <c r="H30" s="34">
        <v>35</v>
      </c>
      <c r="I30" s="35">
        <v>35</v>
      </c>
      <c r="J30" s="93">
        <v>35</v>
      </c>
      <c r="K30" s="93"/>
      <c r="L30" s="36"/>
      <c r="M30" s="34">
        <v>25</v>
      </c>
      <c r="N30" s="35">
        <v>19</v>
      </c>
      <c r="O30" s="93">
        <v>16</v>
      </c>
      <c r="P30" s="93"/>
      <c r="Q30" s="36"/>
      <c r="R30" s="34"/>
      <c r="S30" s="35"/>
      <c r="T30" s="35"/>
      <c r="U30" s="35"/>
      <c r="V30" s="93"/>
      <c r="W30" s="93"/>
      <c r="X30" s="36"/>
      <c r="Y30" s="34"/>
      <c r="Z30" s="35"/>
      <c r="AA30" s="35"/>
      <c r="AB30" s="35"/>
      <c r="AC30" s="35"/>
      <c r="AD30" s="147"/>
      <c r="AE30" s="37"/>
      <c r="AF30" s="35"/>
      <c r="AG30" s="36"/>
      <c r="AH30" s="38">
        <v>1662</v>
      </c>
      <c r="AI30" s="39">
        <v>1836</v>
      </c>
      <c r="AJ30" s="39">
        <v>2231</v>
      </c>
      <c r="AK30" s="39">
        <v>4221</v>
      </c>
      <c r="AL30" s="182">
        <v>3061</v>
      </c>
      <c r="AM30" s="39"/>
      <c r="AN30" s="40"/>
      <c r="AO30" s="38"/>
      <c r="AP30" s="39"/>
      <c r="AQ30" s="39"/>
      <c r="AR30" s="39">
        <v>272</v>
      </c>
      <c r="AS30" s="182">
        <v>861</v>
      </c>
      <c r="AT30" s="182"/>
      <c r="AU30" s="40"/>
      <c r="AV30" s="41">
        <f t="shared" si="50"/>
        <v>0</v>
      </c>
      <c r="AW30" s="42">
        <f t="shared" si="50"/>
        <v>0</v>
      </c>
      <c r="AX30" s="42">
        <f t="shared" si="50"/>
        <v>0</v>
      </c>
      <c r="AY30" s="42">
        <f t="shared" si="50"/>
        <v>6.4439706230751001E-2</v>
      </c>
      <c r="AZ30" s="183">
        <f t="shared" si="50"/>
        <v>0.28128062724599806</v>
      </c>
      <c r="BA30" s="183"/>
      <c r="BB30" s="183"/>
      <c r="BC30" s="41" t="s">
        <v>226</v>
      </c>
      <c r="BD30" s="44"/>
      <c r="BE30" s="44"/>
      <c r="BF30" s="44">
        <f>(AY30-$AV30)*100</f>
        <v>6.4439706230751002</v>
      </c>
      <c r="BG30" s="184">
        <f>(AZ30-$AV30)*100</f>
        <v>28.128062724599808</v>
      </c>
      <c r="BH30" s="184"/>
      <c r="BI30" s="184"/>
      <c r="BJ30" s="34" t="s">
        <v>226</v>
      </c>
      <c r="BK30" s="46"/>
      <c r="BL30" s="46"/>
      <c r="BM30" s="46">
        <f>(AY30-AX30)*100</f>
        <v>6.4439706230751002</v>
      </c>
      <c r="BN30" s="185">
        <f>(AZ30-AY30)*100</f>
        <v>21.684092101524705</v>
      </c>
      <c r="BO30" s="185"/>
      <c r="BP30" s="185"/>
      <c r="BQ30" s="41">
        <f t="shared" si="52"/>
        <v>0</v>
      </c>
      <c r="BR30" s="42">
        <f t="shared" si="52"/>
        <v>0</v>
      </c>
      <c r="BS30" s="183">
        <f t="shared" si="52"/>
        <v>0</v>
      </c>
      <c r="BT30" s="183"/>
      <c r="BU30" s="183"/>
      <c r="BV30" s="48"/>
      <c r="BW30" s="48"/>
    </row>
    <row r="31" spans="1:75" x14ac:dyDescent="0.25">
      <c r="A31" s="10">
        <v>76</v>
      </c>
      <c r="B31" s="33" t="s">
        <v>96</v>
      </c>
      <c r="C31" s="34">
        <v>1</v>
      </c>
      <c r="D31" s="35">
        <v>1</v>
      </c>
      <c r="E31" s="93">
        <v>1</v>
      </c>
      <c r="F31" s="93"/>
      <c r="G31" s="93"/>
      <c r="H31" s="34">
        <v>39</v>
      </c>
      <c r="I31" s="35">
        <v>39</v>
      </c>
      <c r="J31" s="93">
        <v>36</v>
      </c>
      <c r="K31" s="93"/>
      <c r="L31" s="36"/>
      <c r="M31" s="34">
        <v>0</v>
      </c>
      <c r="N31" s="35">
        <v>0</v>
      </c>
      <c r="O31" s="93">
        <v>1</v>
      </c>
      <c r="P31" s="93"/>
      <c r="Q31" s="36"/>
      <c r="R31" s="34"/>
      <c r="S31" s="35"/>
      <c r="T31" s="35"/>
      <c r="U31" s="35"/>
      <c r="V31" s="93"/>
      <c r="W31" s="93"/>
      <c r="X31" s="36"/>
      <c r="Y31" s="34" t="s">
        <v>97</v>
      </c>
      <c r="Z31" s="35"/>
      <c r="AA31" s="35"/>
      <c r="AB31" s="35"/>
      <c r="AC31" s="35" t="s">
        <v>98</v>
      </c>
      <c r="AD31" s="147"/>
      <c r="AE31" s="37"/>
      <c r="AF31" s="35"/>
      <c r="AG31" s="36"/>
      <c r="AH31" s="38">
        <v>5225</v>
      </c>
      <c r="AI31" s="39">
        <v>5225</v>
      </c>
      <c r="AJ31" s="39">
        <v>5225</v>
      </c>
      <c r="AK31" s="39">
        <v>5887</v>
      </c>
      <c r="AL31" s="182">
        <v>5887</v>
      </c>
      <c r="AM31" s="39"/>
      <c r="AN31" s="40"/>
      <c r="AO31" s="38"/>
      <c r="AP31" s="39"/>
      <c r="AQ31" s="39"/>
      <c r="AR31" s="39"/>
      <c r="AS31" s="182">
        <v>251</v>
      </c>
      <c r="AT31" s="182"/>
      <c r="AU31" s="40"/>
      <c r="AV31" s="41">
        <f t="shared" si="50"/>
        <v>0</v>
      </c>
      <c r="AW31" s="42">
        <f t="shared" si="50"/>
        <v>0</v>
      </c>
      <c r="AX31" s="42">
        <f t="shared" si="50"/>
        <v>0</v>
      </c>
      <c r="AY31" s="42">
        <f t="shared" si="50"/>
        <v>0</v>
      </c>
      <c r="AZ31" s="183">
        <f t="shared" si="50"/>
        <v>4.2636317309325635E-2</v>
      </c>
      <c r="BA31" s="183"/>
      <c r="BB31" s="183"/>
      <c r="BC31" s="41" t="s">
        <v>226</v>
      </c>
      <c r="BD31" s="44"/>
      <c r="BE31" s="44"/>
      <c r="BF31" s="44"/>
      <c r="BG31" s="184">
        <f>(AZ31-$AV31)*100</f>
        <v>4.2636317309325635</v>
      </c>
      <c r="BH31" s="184"/>
      <c r="BI31" s="184"/>
      <c r="BJ31" s="34" t="s">
        <v>226</v>
      </c>
      <c r="BK31" s="46"/>
      <c r="BL31" s="46"/>
      <c r="BM31" s="46"/>
      <c r="BN31" s="185">
        <f>(AZ31-AY31)*100</f>
        <v>4.2636317309325635</v>
      </c>
      <c r="BO31" s="185"/>
      <c r="BP31" s="185"/>
      <c r="BQ31" s="41"/>
      <c r="BR31" s="42"/>
      <c r="BS31" s="183">
        <f t="shared" ref="BS31:BS39" si="55">V31/O31</f>
        <v>0</v>
      </c>
      <c r="BT31" s="183"/>
      <c r="BU31" s="183"/>
      <c r="BV31" s="48"/>
      <c r="BW31" s="48"/>
    </row>
    <row r="32" spans="1:75" x14ac:dyDescent="0.25">
      <c r="A32" s="10">
        <v>76</v>
      </c>
      <c r="B32" s="33" t="s">
        <v>273</v>
      </c>
      <c r="C32" s="34">
        <v>1</v>
      </c>
      <c r="D32" s="35">
        <v>1</v>
      </c>
      <c r="E32" s="93">
        <v>1</v>
      </c>
      <c r="F32" s="93"/>
      <c r="G32" s="93"/>
      <c r="H32" s="34">
        <v>26</v>
      </c>
      <c r="I32" s="35">
        <v>25</v>
      </c>
      <c r="J32" s="93">
        <v>23</v>
      </c>
      <c r="K32" s="93"/>
      <c r="L32" s="36"/>
      <c r="M32" s="34">
        <v>7</v>
      </c>
      <c r="N32" s="35">
        <v>8</v>
      </c>
      <c r="O32" s="93">
        <v>12</v>
      </c>
      <c r="P32" s="93"/>
      <c r="Q32" s="36"/>
      <c r="R32" s="34"/>
      <c r="S32" s="35"/>
      <c r="T32" s="35"/>
      <c r="U32" s="35"/>
      <c r="V32" s="93"/>
      <c r="W32" s="93"/>
      <c r="X32" s="36"/>
      <c r="Y32" s="34"/>
      <c r="Z32" s="35" t="s">
        <v>87</v>
      </c>
      <c r="AA32" s="35" t="s">
        <v>87</v>
      </c>
      <c r="AB32" s="35" t="s">
        <v>87</v>
      </c>
      <c r="AC32" s="35" t="s">
        <v>149</v>
      </c>
      <c r="AD32" s="147">
        <v>0.42</v>
      </c>
      <c r="AE32" s="37">
        <v>0.47</v>
      </c>
      <c r="AF32" s="35"/>
      <c r="AG32" s="36"/>
      <c r="AH32" s="38">
        <v>1424</v>
      </c>
      <c r="AI32" s="39">
        <v>1679</v>
      </c>
      <c r="AJ32" s="39">
        <v>1936</v>
      </c>
      <c r="AK32" s="39">
        <v>2191</v>
      </c>
      <c r="AL32" s="182">
        <v>2411</v>
      </c>
      <c r="AM32" s="39"/>
      <c r="AN32" s="40"/>
      <c r="AO32" s="38">
        <v>115</v>
      </c>
      <c r="AP32" s="39">
        <v>145</v>
      </c>
      <c r="AQ32" s="39">
        <v>271</v>
      </c>
      <c r="AR32" s="39">
        <v>737</v>
      </c>
      <c r="AS32" s="182">
        <v>1203</v>
      </c>
      <c r="AT32" s="182"/>
      <c r="AU32" s="40"/>
      <c r="AV32" s="41">
        <f t="shared" si="50"/>
        <v>8.0758426966292138E-2</v>
      </c>
      <c r="AW32" s="42">
        <f t="shared" si="50"/>
        <v>8.6360929124478861E-2</v>
      </c>
      <c r="AX32" s="42">
        <f t="shared" si="50"/>
        <v>0.1399793388429752</v>
      </c>
      <c r="AY32" s="42">
        <f t="shared" si="50"/>
        <v>0.33637608397991786</v>
      </c>
      <c r="AZ32" s="183">
        <f t="shared" si="50"/>
        <v>0.49896308585649107</v>
      </c>
      <c r="BA32" s="183"/>
      <c r="BB32" s="183"/>
      <c r="BC32" s="41" t="s">
        <v>226</v>
      </c>
      <c r="BD32" s="44">
        <f>(AW32-$AV32)*100</f>
        <v>0.56025021581867229</v>
      </c>
      <c r="BE32" s="44">
        <f>(AX32-$AV32)*100</f>
        <v>5.9220911876683058</v>
      </c>
      <c r="BF32" s="44">
        <f>(AY32-$AV32)*100</f>
        <v>25.561765701362571</v>
      </c>
      <c r="BG32" s="184">
        <f>(AZ32-$AV32)*100</f>
        <v>41.820465889019893</v>
      </c>
      <c r="BH32" s="184"/>
      <c r="BI32" s="184"/>
      <c r="BJ32" s="34" t="s">
        <v>226</v>
      </c>
      <c r="BK32" s="46">
        <f>(AW32-AV32)*100</f>
        <v>0.56025021581867229</v>
      </c>
      <c r="BL32" s="46">
        <f>(AX32-AW32)*100</f>
        <v>5.3618409718496336</v>
      </c>
      <c r="BM32" s="46">
        <f>(AY32-AX32)*100</f>
        <v>19.639674513694267</v>
      </c>
      <c r="BN32" s="185">
        <f>(AZ32-AY32)*100</f>
        <v>16.258700187657322</v>
      </c>
      <c r="BO32" s="185"/>
      <c r="BP32" s="185"/>
      <c r="BQ32" s="41">
        <f t="shared" ref="BQ32:BR39" si="56">T32/M32</f>
        <v>0</v>
      </c>
      <c r="BR32" s="42">
        <f t="shared" si="56"/>
        <v>0</v>
      </c>
      <c r="BS32" s="183">
        <f t="shared" si="55"/>
        <v>0</v>
      </c>
      <c r="BT32" s="183"/>
      <c r="BU32" s="183"/>
      <c r="BV32" s="48"/>
      <c r="BW32" s="48"/>
    </row>
    <row r="33" spans="1:75" x14ac:dyDescent="0.25">
      <c r="A33" s="10">
        <v>77</v>
      </c>
      <c r="B33" s="33" t="s">
        <v>43</v>
      </c>
      <c r="C33" s="34"/>
      <c r="D33" s="35"/>
      <c r="E33" s="35"/>
      <c r="F33" s="93"/>
      <c r="G33" s="36">
        <v>0</v>
      </c>
      <c r="H33" s="34"/>
      <c r="I33" s="35"/>
      <c r="J33" s="35"/>
      <c r="K33" s="93"/>
      <c r="L33" s="36">
        <v>32</v>
      </c>
      <c r="M33" s="34"/>
      <c r="N33" s="35"/>
      <c r="O33" s="35"/>
      <c r="P33" s="93"/>
      <c r="Q33" s="36">
        <v>21</v>
      </c>
      <c r="R33" s="34"/>
      <c r="S33" s="35"/>
      <c r="T33" s="35"/>
      <c r="U33" s="35"/>
      <c r="V33" s="35"/>
      <c r="W33" s="93"/>
      <c r="X33" s="36">
        <v>0</v>
      </c>
      <c r="Y33" s="34"/>
      <c r="Z33" s="35"/>
      <c r="AA33" s="35"/>
      <c r="AB33" s="93"/>
      <c r="AC33" s="35"/>
      <c r="AD33" s="147"/>
      <c r="AE33" s="35"/>
      <c r="AF33" s="154"/>
      <c r="AG33" s="90" t="s">
        <v>393</v>
      </c>
      <c r="AH33" s="38"/>
      <c r="AI33" s="39"/>
      <c r="AJ33" s="39"/>
      <c r="AK33" s="39"/>
      <c r="AL33" s="39"/>
      <c r="AM33" s="182"/>
      <c r="AN33" s="40">
        <v>3075</v>
      </c>
      <c r="AO33" s="38"/>
      <c r="AP33" s="39"/>
      <c r="AQ33" s="39"/>
      <c r="AR33" s="39"/>
      <c r="AS33" s="39"/>
      <c r="AT33" s="182"/>
      <c r="AU33" s="40">
        <v>1677</v>
      </c>
      <c r="AV33" s="41"/>
      <c r="AW33" s="42"/>
      <c r="AX33" s="42"/>
      <c r="AY33" s="42"/>
      <c r="AZ33" s="42"/>
      <c r="BA33" s="183"/>
      <c r="BB33" s="43">
        <f t="shared" si="11"/>
        <v>0.54536585365853663</v>
      </c>
      <c r="BC33" s="41" t="s">
        <v>226</v>
      </c>
      <c r="BD33" s="44"/>
      <c r="BE33" s="44"/>
      <c r="BF33" s="44"/>
      <c r="BG33" s="44"/>
      <c r="BH33" s="184"/>
      <c r="BI33" s="45"/>
      <c r="BJ33" s="34" t="s">
        <v>226</v>
      </c>
      <c r="BK33" s="46"/>
      <c r="BL33" s="46"/>
      <c r="BM33" s="46"/>
      <c r="BN33" s="46"/>
      <c r="BO33" s="185"/>
      <c r="BP33" s="47"/>
      <c r="BQ33" s="41"/>
      <c r="BR33" s="42"/>
      <c r="BS33" s="42"/>
      <c r="BT33" s="183"/>
      <c r="BU33" s="183">
        <f t="shared" si="19"/>
        <v>0</v>
      </c>
      <c r="BV33" s="48"/>
      <c r="BW33" s="48"/>
    </row>
    <row r="34" spans="1:75" x14ac:dyDescent="0.25">
      <c r="A34" s="10">
        <v>93</v>
      </c>
      <c r="B34" s="33" t="s">
        <v>397</v>
      </c>
      <c r="C34" s="34"/>
      <c r="D34" s="35"/>
      <c r="E34" s="35"/>
      <c r="F34" s="93"/>
      <c r="G34" s="36">
        <v>1</v>
      </c>
      <c r="H34" s="34"/>
      <c r="I34" s="35"/>
      <c r="J34" s="35"/>
      <c r="K34" s="93"/>
      <c r="L34" s="36">
        <v>16</v>
      </c>
      <c r="M34" s="34"/>
      <c r="N34" s="35"/>
      <c r="O34" s="35"/>
      <c r="P34" s="93"/>
      <c r="Q34" s="36">
        <v>10</v>
      </c>
      <c r="R34" s="34"/>
      <c r="S34" s="35"/>
      <c r="T34" s="35"/>
      <c r="U34" s="35"/>
      <c r="V34" s="35"/>
      <c r="W34" s="93"/>
      <c r="X34" s="36">
        <v>0</v>
      </c>
      <c r="Y34" s="34"/>
      <c r="Z34" s="35"/>
      <c r="AA34" s="35"/>
      <c r="AB34" s="93"/>
      <c r="AC34" s="35"/>
      <c r="AD34" s="147"/>
      <c r="AE34" s="35"/>
      <c r="AF34" s="154"/>
      <c r="AG34" s="90"/>
      <c r="AH34" s="38"/>
      <c r="AI34" s="39"/>
      <c r="AJ34" s="39"/>
      <c r="AK34" s="39"/>
      <c r="AL34" s="39"/>
      <c r="AM34" s="182"/>
      <c r="AN34" s="40">
        <v>5134.03</v>
      </c>
      <c r="AO34" s="38"/>
      <c r="AP34" s="39"/>
      <c r="AQ34" s="39"/>
      <c r="AR34" s="39"/>
      <c r="AS34" s="39"/>
      <c r="AT34" s="182"/>
      <c r="AU34" s="40">
        <v>2987.64</v>
      </c>
      <c r="AV34" s="41"/>
      <c r="AW34" s="42"/>
      <c r="AX34" s="42"/>
      <c r="AY34" s="42"/>
      <c r="AZ34" s="42"/>
      <c r="BA34" s="183"/>
      <c r="BB34" s="43">
        <f t="shared" si="11"/>
        <v>0.58192881615417125</v>
      </c>
      <c r="BC34" s="41"/>
      <c r="BD34" s="44"/>
      <c r="BE34" s="44"/>
      <c r="BF34" s="44"/>
      <c r="BG34" s="44"/>
      <c r="BH34" s="184"/>
      <c r="BI34" s="45"/>
      <c r="BJ34" s="34"/>
      <c r="BK34" s="46"/>
      <c r="BL34" s="46"/>
      <c r="BM34" s="46"/>
      <c r="BN34" s="46"/>
      <c r="BO34" s="185"/>
      <c r="BP34" s="47"/>
      <c r="BQ34" s="41"/>
      <c r="BR34" s="42"/>
      <c r="BS34" s="42"/>
      <c r="BT34" s="183"/>
      <c r="BU34" s="183">
        <f t="shared" si="19"/>
        <v>0</v>
      </c>
      <c r="BV34" s="48"/>
      <c r="BW34" s="48"/>
    </row>
    <row r="35" spans="1:75" x14ac:dyDescent="0.25">
      <c r="A35" s="10">
        <v>96</v>
      </c>
      <c r="B35" s="33" t="s">
        <v>238</v>
      </c>
      <c r="C35" s="34">
        <v>112</v>
      </c>
      <c r="D35" s="35">
        <v>113</v>
      </c>
      <c r="E35" s="93">
        <v>113</v>
      </c>
      <c r="F35" s="93"/>
      <c r="G35" s="93"/>
      <c r="H35" s="34">
        <v>2804</v>
      </c>
      <c r="I35" s="35">
        <v>2838</v>
      </c>
      <c r="J35" s="93">
        <v>2838</v>
      </c>
      <c r="K35" s="93"/>
      <c r="L35" s="36"/>
      <c r="M35" s="34">
        <v>497</v>
      </c>
      <c r="N35" s="35">
        <v>612</v>
      </c>
      <c r="O35" s="93">
        <v>663</v>
      </c>
      <c r="P35" s="93"/>
      <c r="Q35" s="36"/>
      <c r="R35" s="34">
        <v>0</v>
      </c>
      <c r="S35" s="35">
        <v>0</v>
      </c>
      <c r="T35" s="35">
        <v>16</v>
      </c>
      <c r="U35" s="35">
        <v>18</v>
      </c>
      <c r="V35" s="93">
        <v>24</v>
      </c>
      <c r="W35" s="93"/>
      <c r="X35" s="36"/>
      <c r="Y35" s="88">
        <v>35.200000000000003</v>
      </c>
      <c r="Z35" s="89">
        <v>35.200000000000003</v>
      </c>
      <c r="AA35" s="89">
        <v>35.200000000000003</v>
      </c>
      <c r="AB35" s="89">
        <v>35.200000000000003</v>
      </c>
      <c r="AC35" s="89">
        <v>35.200000000000003</v>
      </c>
      <c r="AD35" s="147"/>
      <c r="AE35" s="37"/>
      <c r="AF35" s="35"/>
      <c r="AG35" s="36"/>
      <c r="AH35" s="38">
        <v>640233</v>
      </c>
      <c r="AI35" s="39">
        <v>663028</v>
      </c>
      <c r="AJ35" s="39">
        <v>757448</v>
      </c>
      <c r="AK35" s="39">
        <v>715049</v>
      </c>
      <c r="AL35" s="182">
        <v>731746</v>
      </c>
      <c r="AM35" s="39"/>
      <c r="AN35" s="40"/>
      <c r="AO35" s="38">
        <v>73966</v>
      </c>
      <c r="AP35" s="39">
        <v>84365</v>
      </c>
      <c r="AQ35" s="39">
        <v>106086</v>
      </c>
      <c r="AR35" s="39">
        <v>120520</v>
      </c>
      <c r="AS35" s="182">
        <v>142215</v>
      </c>
      <c r="AT35" s="182"/>
      <c r="AU35" s="40"/>
      <c r="AV35" s="41">
        <f t="shared" si="50"/>
        <v>0.11552981492675322</v>
      </c>
      <c r="AW35" s="42">
        <f t="shared" si="50"/>
        <v>0.12724198676375659</v>
      </c>
      <c r="AX35" s="42">
        <f t="shared" si="50"/>
        <v>0.14005713923596075</v>
      </c>
      <c r="AY35" s="42">
        <f t="shared" si="50"/>
        <v>0.16854788972503981</v>
      </c>
      <c r="AZ35" s="183">
        <f t="shared" si="50"/>
        <v>0.19435022535141974</v>
      </c>
      <c r="BA35" s="183"/>
      <c r="BB35" s="183"/>
      <c r="BC35" s="41" t="s">
        <v>226</v>
      </c>
      <c r="BD35" s="44">
        <f t="shared" ref="BD35:BG39" si="57">(AW35-$AV35)*100</f>
        <v>1.1712171837003362</v>
      </c>
      <c r="BE35" s="44">
        <f t="shared" si="57"/>
        <v>2.4527324309207525</v>
      </c>
      <c r="BF35" s="44">
        <f t="shared" si="57"/>
        <v>5.3018074798286587</v>
      </c>
      <c r="BG35" s="184">
        <f t="shared" si="57"/>
        <v>7.8820410424666516</v>
      </c>
      <c r="BH35" s="184"/>
      <c r="BI35" s="184"/>
      <c r="BJ35" s="34" t="s">
        <v>226</v>
      </c>
      <c r="BK35" s="46">
        <f t="shared" ref="BK35:BO39" si="58">(AW35-AV35)*100</f>
        <v>1.1712171837003362</v>
      </c>
      <c r="BL35" s="46">
        <f t="shared" si="58"/>
        <v>1.2815152472204161</v>
      </c>
      <c r="BM35" s="46">
        <f t="shared" si="58"/>
        <v>2.8490750489079062</v>
      </c>
      <c r="BN35" s="185">
        <f t="shared" si="58"/>
        <v>2.5802335626379929</v>
      </c>
      <c r="BO35" s="185"/>
      <c r="BP35" s="185"/>
      <c r="BQ35" s="41">
        <f t="shared" si="56"/>
        <v>3.2193158953722337E-2</v>
      </c>
      <c r="BR35" s="42">
        <f t="shared" si="56"/>
        <v>2.9411764705882353E-2</v>
      </c>
      <c r="BS35" s="183">
        <f t="shared" si="55"/>
        <v>3.6199095022624438E-2</v>
      </c>
      <c r="BT35" s="183"/>
      <c r="BU35" s="183"/>
      <c r="BV35" s="48"/>
      <c r="BW35" s="48"/>
    </row>
    <row r="36" spans="1:75" x14ac:dyDescent="0.25">
      <c r="A36" s="10">
        <v>96</v>
      </c>
      <c r="B36" s="33" t="s">
        <v>247</v>
      </c>
      <c r="C36" s="34">
        <v>3</v>
      </c>
      <c r="D36" s="35">
        <v>3</v>
      </c>
      <c r="E36" s="93">
        <v>3</v>
      </c>
      <c r="F36" s="93"/>
      <c r="G36" s="93"/>
      <c r="H36" s="34">
        <v>36</v>
      </c>
      <c r="I36" s="35">
        <v>34</v>
      </c>
      <c r="J36" s="93">
        <v>30</v>
      </c>
      <c r="K36" s="93"/>
      <c r="L36" s="36"/>
      <c r="M36" s="34">
        <v>1</v>
      </c>
      <c r="N36" s="35">
        <v>4</v>
      </c>
      <c r="O36" s="93">
        <v>6</v>
      </c>
      <c r="P36" s="93"/>
      <c r="Q36" s="36"/>
      <c r="R36" s="34">
        <v>0</v>
      </c>
      <c r="S36" s="35">
        <v>0</v>
      </c>
      <c r="T36" s="35">
        <v>0</v>
      </c>
      <c r="U36" s="35">
        <v>0</v>
      </c>
      <c r="V36" s="93">
        <v>0</v>
      </c>
      <c r="W36" s="93"/>
      <c r="X36" s="36"/>
      <c r="Y36" s="34" t="s">
        <v>95</v>
      </c>
      <c r="Z36" s="35" t="s">
        <v>95</v>
      </c>
      <c r="AA36" s="89" t="s">
        <v>95</v>
      </c>
      <c r="AB36" s="35" t="s">
        <v>95</v>
      </c>
      <c r="AC36" s="35" t="s">
        <v>95</v>
      </c>
      <c r="AD36" s="147">
        <v>0.75</v>
      </c>
      <c r="AE36" s="37">
        <v>0.75</v>
      </c>
      <c r="AF36" s="35"/>
      <c r="AG36" s="36"/>
      <c r="AH36" s="38">
        <v>3570</v>
      </c>
      <c r="AI36" s="39">
        <v>3937</v>
      </c>
      <c r="AJ36" s="39">
        <v>5167</v>
      </c>
      <c r="AK36" s="39">
        <v>5347</v>
      </c>
      <c r="AL36" s="182">
        <v>4966</v>
      </c>
      <c r="AM36" s="39"/>
      <c r="AN36" s="40"/>
      <c r="AO36" s="38">
        <v>49</v>
      </c>
      <c r="AP36" s="39">
        <v>83</v>
      </c>
      <c r="AQ36" s="39">
        <v>79</v>
      </c>
      <c r="AR36" s="39">
        <v>457</v>
      </c>
      <c r="AS36" s="182">
        <v>581</v>
      </c>
      <c r="AT36" s="182"/>
      <c r="AU36" s="40"/>
      <c r="AV36" s="41">
        <f t="shared" si="50"/>
        <v>1.3725490196078431E-2</v>
      </c>
      <c r="AW36" s="42">
        <f t="shared" si="50"/>
        <v>2.1082042164084328E-2</v>
      </c>
      <c r="AX36" s="42">
        <f t="shared" si="50"/>
        <v>1.5289336171859879E-2</v>
      </c>
      <c r="AY36" s="42">
        <f t="shared" si="50"/>
        <v>8.5468487002057225E-2</v>
      </c>
      <c r="AZ36" s="183">
        <f t="shared" si="50"/>
        <v>0.11699556987515103</v>
      </c>
      <c r="BA36" s="183"/>
      <c r="BB36" s="183"/>
      <c r="BC36" s="41" t="s">
        <v>226</v>
      </c>
      <c r="BD36" s="44">
        <f t="shared" si="57"/>
        <v>0.73565519680058966</v>
      </c>
      <c r="BE36" s="44">
        <f t="shared" si="57"/>
        <v>0.15638459757814482</v>
      </c>
      <c r="BF36" s="44">
        <f t="shared" si="57"/>
        <v>7.1742996805978789</v>
      </c>
      <c r="BG36" s="184">
        <f t="shared" si="57"/>
        <v>10.327007967907258</v>
      </c>
      <c r="BH36" s="184"/>
      <c r="BI36" s="184"/>
      <c r="BJ36" s="34" t="s">
        <v>226</v>
      </c>
      <c r="BK36" s="46">
        <f t="shared" si="58"/>
        <v>0.73565519680058966</v>
      </c>
      <c r="BL36" s="46">
        <f t="shared" si="58"/>
        <v>-0.57927059922244484</v>
      </c>
      <c r="BM36" s="46">
        <f t="shared" si="58"/>
        <v>7.0179150830197354</v>
      </c>
      <c r="BN36" s="185">
        <f t="shared" si="58"/>
        <v>3.1527082873093804</v>
      </c>
      <c r="BO36" s="185"/>
      <c r="BP36" s="185"/>
      <c r="BQ36" s="41">
        <f t="shared" si="56"/>
        <v>0</v>
      </c>
      <c r="BR36" s="42">
        <f t="shared" si="56"/>
        <v>0</v>
      </c>
      <c r="BS36" s="183">
        <f t="shared" si="55"/>
        <v>0</v>
      </c>
      <c r="BT36" s="183"/>
      <c r="BU36" s="183"/>
      <c r="BV36" s="48"/>
      <c r="BW36" s="48"/>
    </row>
    <row r="37" spans="1:75" ht="13.5" customHeight="1" x14ac:dyDescent="0.25">
      <c r="A37" s="10">
        <v>96</v>
      </c>
      <c r="B37" s="33" t="s">
        <v>245</v>
      </c>
      <c r="C37" s="34">
        <v>2</v>
      </c>
      <c r="D37" s="35">
        <v>2</v>
      </c>
      <c r="E37" s="35">
        <v>2</v>
      </c>
      <c r="F37" s="93">
        <v>2</v>
      </c>
      <c r="G37" s="93"/>
      <c r="H37" s="34">
        <v>11</v>
      </c>
      <c r="I37" s="35">
        <v>11</v>
      </c>
      <c r="J37" s="35">
        <v>11</v>
      </c>
      <c r="K37" s="93">
        <v>12</v>
      </c>
      <c r="L37" s="36"/>
      <c r="M37" s="34">
        <v>1</v>
      </c>
      <c r="N37" s="35">
        <v>1</v>
      </c>
      <c r="O37" s="35">
        <v>3</v>
      </c>
      <c r="P37" s="93">
        <v>3</v>
      </c>
      <c r="Q37" s="36"/>
      <c r="R37" s="34">
        <v>0</v>
      </c>
      <c r="S37" s="35">
        <v>0</v>
      </c>
      <c r="T37" s="35">
        <v>0</v>
      </c>
      <c r="U37" s="35">
        <v>0</v>
      </c>
      <c r="V37" s="35">
        <v>0</v>
      </c>
      <c r="W37" s="93">
        <v>0</v>
      </c>
      <c r="X37" s="36"/>
      <c r="Y37" s="34"/>
      <c r="Z37" s="35" t="s">
        <v>94</v>
      </c>
      <c r="AA37" s="89"/>
      <c r="AB37" s="93"/>
      <c r="AC37" s="35"/>
      <c r="AD37" s="147"/>
      <c r="AE37" s="35"/>
      <c r="AF37" s="35" t="s">
        <v>368</v>
      </c>
      <c r="AG37" s="36"/>
      <c r="AH37" s="38"/>
      <c r="AI37" s="39"/>
      <c r="AJ37" s="39">
        <v>1299</v>
      </c>
      <c r="AK37" s="39">
        <v>1629</v>
      </c>
      <c r="AL37" s="39">
        <v>1815</v>
      </c>
      <c r="AM37" s="39">
        <v>3650</v>
      </c>
      <c r="AN37" s="40"/>
      <c r="AO37" s="38"/>
      <c r="AP37" s="39"/>
      <c r="AQ37" s="39">
        <v>78</v>
      </c>
      <c r="AR37" s="39">
        <v>97</v>
      </c>
      <c r="AS37" s="39">
        <v>132</v>
      </c>
      <c r="AT37" s="182">
        <v>233</v>
      </c>
      <c r="AU37" s="40"/>
      <c r="AV37" s="41"/>
      <c r="AW37" s="42"/>
      <c r="AX37" s="42">
        <f t="shared" ref="AX37:AZ39" si="59">AQ37/AJ37</f>
        <v>6.0046189376443418E-2</v>
      </c>
      <c r="AY37" s="42">
        <f t="shared" si="59"/>
        <v>5.9545733578882751E-2</v>
      </c>
      <c r="AZ37" s="42">
        <f t="shared" si="59"/>
        <v>7.2727272727272724E-2</v>
      </c>
      <c r="BA37" s="183">
        <v>0.06</v>
      </c>
      <c r="BB37" s="183"/>
      <c r="BC37" s="41" t="s">
        <v>226</v>
      </c>
      <c r="BD37" s="44"/>
      <c r="BE37" s="44"/>
      <c r="BF37" s="44"/>
      <c r="BG37" s="44"/>
      <c r="BH37" s="184"/>
      <c r="BI37" s="184"/>
      <c r="BJ37" s="34" t="s">
        <v>226</v>
      </c>
      <c r="BK37" s="46"/>
      <c r="BL37" s="46"/>
      <c r="BM37" s="46">
        <f t="shared" si="58"/>
        <v>-5.0045579756066716E-2</v>
      </c>
      <c r="BN37" s="46">
        <f t="shared" si="58"/>
        <v>1.3181539148389974</v>
      </c>
      <c r="BO37" s="185">
        <f t="shared" si="58"/>
        <v>-1.2727272727272725</v>
      </c>
      <c r="BP37" s="185"/>
      <c r="BQ37" s="41">
        <f t="shared" si="56"/>
        <v>0</v>
      </c>
      <c r="BR37" s="42">
        <f t="shared" si="56"/>
        <v>0</v>
      </c>
      <c r="BS37" s="42">
        <f t="shared" si="55"/>
        <v>0</v>
      </c>
      <c r="BT37" s="183">
        <f>W37/P37</f>
        <v>0</v>
      </c>
      <c r="BU37" s="183"/>
      <c r="BV37" s="48"/>
      <c r="BW37" s="48"/>
    </row>
    <row r="38" spans="1:75" ht="15" customHeight="1" x14ac:dyDescent="0.25">
      <c r="A38" s="10">
        <v>96</v>
      </c>
      <c r="B38" s="33" t="s">
        <v>251</v>
      </c>
      <c r="C38" s="34">
        <v>1</v>
      </c>
      <c r="D38" s="35">
        <v>1</v>
      </c>
      <c r="E38" s="35">
        <v>1</v>
      </c>
      <c r="F38" s="93">
        <v>1</v>
      </c>
      <c r="G38" s="93"/>
      <c r="H38" s="34">
        <v>18</v>
      </c>
      <c r="I38" s="35">
        <v>18</v>
      </c>
      <c r="J38" s="35">
        <v>18</v>
      </c>
      <c r="K38" s="93">
        <v>24</v>
      </c>
      <c r="L38" s="36"/>
      <c r="M38" s="34">
        <v>2</v>
      </c>
      <c r="N38" s="35">
        <v>6</v>
      </c>
      <c r="O38" s="35">
        <v>5</v>
      </c>
      <c r="P38" s="93">
        <v>12</v>
      </c>
      <c r="Q38" s="36"/>
      <c r="R38" s="34">
        <v>0</v>
      </c>
      <c r="S38" s="35">
        <v>0</v>
      </c>
      <c r="T38" s="35">
        <v>0</v>
      </c>
      <c r="U38" s="35">
        <v>0</v>
      </c>
      <c r="V38" s="35">
        <v>0</v>
      </c>
      <c r="W38" s="93">
        <v>2</v>
      </c>
      <c r="X38" s="36"/>
      <c r="Y38" s="34" t="s">
        <v>171</v>
      </c>
      <c r="Z38" s="35" t="s">
        <v>171</v>
      </c>
      <c r="AA38" s="89" t="s">
        <v>171</v>
      </c>
      <c r="AB38" s="93" t="s">
        <v>252</v>
      </c>
      <c r="AC38" s="155" t="s">
        <v>253</v>
      </c>
      <c r="AD38" s="147"/>
      <c r="AE38" s="35"/>
      <c r="AF38" s="155" t="s">
        <v>253</v>
      </c>
      <c r="AG38" s="94"/>
      <c r="AH38" s="38">
        <v>5167</v>
      </c>
      <c r="AI38" s="39">
        <v>7728</v>
      </c>
      <c r="AJ38" s="39">
        <v>8461</v>
      </c>
      <c r="AK38" s="39">
        <v>10268</v>
      </c>
      <c r="AL38" s="39">
        <v>7603</v>
      </c>
      <c r="AM38" s="39">
        <v>13864.98</v>
      </c>
      <c r="AN38" s="40"/>
      <c r="AO38" s="38">
        <v>0</v>
      </c>
      <c r="AP38" s="39">
        <v>1665</v>
      </c>
      <c r="AQ38" s="39">
        <v>425</v>
      </c>
      <c r="AR38" s="39">
        <v>1776</v>
      </c>
      <c r="AS38" s="39">
        <v>715</v>
      </c>
      <c r="AT38" s="182">
        <v>4969.97</v>
      </c>
      <c r="AU38" s="40"/>
      <c r="AV38" s="41">
        <f t="shared" ref="AV38:AW40" si="60">AO38/AH38</f>
        <v>0</v>
      </c>
      <c r="AW38" s="42">
        <f t="shared" si="60"/>
        <v>0.21545031055900621</v>
      </c>
      <c r="AX38" s="42">
        <f t="shared" si="59"/>
        <v>5.0230469211677106E-2</v>
      </c>
      <c r="AY38" s="42">
        <f t="shared" si="59"/>
        <v>0.17296455005843397</v>
      </c>
      <c r="AZ38" s="42">
        <f t="shared" si="59"/>
        <v>9.4041825595159806E-2</v>
      </c>
      <c r="BA38" s="183">
        <v>0.36</v>
      </c>
      <c r="BB38" s="183"/>
      <c r="BC38" s="41" t="s">
        <v>226</v>
      </c>
      <c r="BD38" s="44">
        <f t="shared" ref="BD38:BH38" si="61">(AW38-$AV38)*100</f>
        <v>21.545031055900623</v>
      </c>
      <c r="BE38" s="44">
        <f t="shared" si="61"/>
        <v>5.0230469211677109</v>
      </c>
      <c r="BF38" s="44">
        <f t="shared" si="61"/>
        <v>17.296455005843399</v>
      </c>
      <c r="BG38" s="44">
        <f t="shared" si="61"/>
        <v>9.4041825595159807</v>
      </c>
      <c r="BH38" s="184">
        <f t="shared" si="61"/>
        <v>36</v>
      </c>
      <c r="BI38" s="184"/>
      <c r="BJ38" s="34" t="s">
        <v>226</v>
      </c>
      <c r="BK38" s="46">
        <f t="shared" ref="BK38:BL38" si="62">(AW38-AV38)*100</f>
        <v>21.545031055900623</v>
      </c>
      <c r="BL38" s="46">
        <f t="shared" si="62"/>
        <v>-16.521984134732907</v>
      </c>
      <c r="BM38" s="46">
        <f t="shared" si="58"/>
        <v>12.273408084675687</v>
      </c>
      <c r="BN38" s="46">
        <f t="shared" si="58"/>
        <v>-7.892272446327417</v>
      </c>
      <c r="BO38" s="185">
        <f t="shared" si="58"/>
        <v>26.595817440484016</v>
      </c>
      <c r="BP38" s="185"/>
      <c r="BQ38" s="41">
        <f t="shared" si="56"/>
        <v>0</v>
      </c>
      <c r="BR38" s="42">
        <f t="shared" si="56"/>
        <v>0</v>
      </c>
      <c r="BS38" s="42">
        <f t="shared" si="55"/>
        <v>0</v>
      </c>
      <c r="BT38" s="183">
        <f>W38/P38</f>
        <v>0.16666666666666666</v>
      </c>
      <c r="BU38" s="183"/>
      <c r="BV38" s="48"/>
      <c r="BW38" s="48"/>
    </row>
    <row r="39" spans="1:75" x14ac:dyDescent="0.25">
      <c r="A39" s="10">
        <v>96</v>
      </c>
      <c r="B39" s="33" t="s">
        <v>255</v>
      </c>
      <c r="C39" s="34">
        <v>1</v>
      </c>
      <c r="D39" s="35">
        <v>1</v>
      </c>
      <c r="E39" s="93">
        <v>1</v>
      </c>
      <c r="F39" s="93"/>
      <c r="G39" s="93"/>
      <c r="H39" s="34">
        <v>36</v>
      </c>
      <c r="I39" s="35">
        <v>36</v>
      </c>
      <c r="J39" s="93">
        <v>36</v>
      </c>
      <c r="K39" s="93"/>
      <c r="L39" s="36"/>
      <c r="M39" s="34">
        <v>6</v>
      </c>
      <c r="N39" s="35">
        <v>12</v>
      </c>
      <c r="O39" s="93">
        <v>16</v>
      </c>
      <c r="P39" s="93"/>
      <c r="Q39" s="36"/>
      <c r="R39" s="34">
        <v>0</v>
      </c>
      <c r="S39" s="35">
        <v>0</v>
      </c>
      <c r="T39" s="35">
        <v>0</v>
      </c>
      <c r="U39" s="35">
        <v>0</v>
      </c>
      <c r="V39" s="93">
        <v>0</v>
      </c>
      <c r="W39" s="93"/>
      <c r="X39" s="36"/>
      <c r="Y39" s="34" t="s">
        <v>98</v>
      </c>
      <c r="Z39" s="35" t="s">
        <v>98</v>
      </c>
      <c r="AA39" s="89" t="s">
        <v>98</v>
      </c>
      <c r="AB39" s="35" t="s">
        <v>98</v>
      </c>
      <c r="AC39" s="155" t="s">
        <v>98</v>
      </c>
      <c r="AD39" s="147">
        <v>0.8</v>
      </c>
      <c r="AE39" s="37">
        <v>0.8</v>
      </c>
      <c r="AF39" s="35"/>
      <c r="AG39" s="36"/>
      <c r="AH39" s="38">
        <v>4241</v>
      </c>
      <c r="AI39" s="39">
        <v>4972</v>
      </c>
      <c r="AJ39" s="39">
        <v>6347</v>
      </c>
      <c r="AK39" s="39">
        <v>6642</v>
      </c>
      <c r="AL39" s="182">
        <v>6130</v>
      </c>
      <c r="AM39" s="39"/>
      <c r="AN39" s="40"/>
      <c r="AO39" s="38">
        <v>248</v>
      </c>
      <c r="AP39" s="39">
        <v>324</v>
      </c>
      <c r="AQ39" s="39">
        <v>672</v>
      </c>
      <c r="AR39" s="39">
        <v>1235</v>
      </c>
      <c r="AS39" s="182">
        <v>1420</v>
      </c>
      <c r="AT39" s="182"/>
      <c r="AU39" s="40"/>
      <c r="AV39" s="41">
        <f t="shared" si="60"/>
        <v>5.8476774345673194E-2</v>
      </c>
      <c r="AW39" s="42">
        <f t="shared" si="60"/>
        <v>6.5164923572003222E-2</v>
      </c>
      <c r="AX39" s="42">
        <f t="shared" si="59"/>
        <v>0.10587679218528438</v>
      </c>
      <c r="AY39" s="42">
        <f t="shared" si="59"/>
        <v>0.18593797049081601</v>
      </c>
      <c r="AZ39" s="183">
        <f t="shared" si="59"/>
        <v>0.23164763458401305</v>
      </c>
      <c r="BA39" s="183"/>
      <c r="BB39" s="183"/>
      <c r="BC39" s="41" t="s">
        <v>226</v>
      </c>
      <c r="BD39" s="44">
        <f t="shared" si="57"/>
        <v>0.66881492263300291</v>
      </c>
      <c r="BE39" s="44">
        <f t="shared" si="57"/>
        <v>4.7400017839611186</v>
      </c>
      <c r="BF39" s="44">
        <f t="shared" si="57"/>
        <v>12.746119614514281</v>
      </c>
      <c r="BG39" s="184">
        <f t="shared" si="57"/>
        <v>17.317086023833987</v>
      </c>
      <c r="BH39" s="184"/>
      <c r="BI39" s="184"/>
      <c r="BJ39" s="34" t="s">
        <v>226</v>
      </c>
      <c r="BK39" s="46">
        <f t="shared" si="58"/>
        <v>0.66881492263300291</v>
      </c>
      <c r="BL39" s="46">
        <f t="shared" si="58"/>
        <v>4.0711868613281164</v>
      </c>
      <c r="BM39" s="46">
        <f t="shared" si="58"/>
        <v>8.006117830553162</v>
      </c>
      <c r="BN39" s="185">
        <f t="shared" si="58"/>
        <v>4.5709664093197047</v>
      </c>
      <c r="BO39" s="185"/>
      <c r="BP39" s="185"/>
      <c r="BQ39" s="41">
        <f t="shared" si="56"/>
        <v>0</v>
      </c>
      <c r="BR39" s="42">
        <f t="shared" si="56"/>
        <v>0</v>
      </c>
      <c r="BS39" s="183">
        <f t="shared" si="55"/>
        <v>0</v>
      </c>
      <c r="BT39" s="183"/>
      <c r="BU39" s="183"/>
      <c r="BV39" s="48"/>
      <c r="BW39" s="48"/>
    </row>
    <row r="40" spans="1:75" x14ac:dyDescent="0.25">
      <c r="A40" s="10">
        <v>98</v>
      </c>
      <c r="B40" s="33" t="s">
        <v>190</v>
      </c>
      <c r="C40" s="34">
        <v>0</v>
      </c>
      <c r="D40" s="35">
        <v>0</v>
      </c>
      <c r="E40" s="93">
        <v>0</v>
      </c>
      <c r="F40" s="93"/>
      <c r="G40" s="93"/>
      <c r="H40" s="34">
        <v>33</v>
      </c>
      <c r="I40" s="35">
        <v>32</v>
      </c>
      <c r="J40" s="93">
        <v>32</v>
      </c>
      <c r="K40" s="93"/>
      <c r="L40" s="36"/>
      <c r="M40" s="34">
        <v>9</v>
      </c>
      <c r="N40" s="35">
        <v>5</v>
      </c>
      <c r="O40" s="93">
        <v>6</v>
      </c>
      <c r="P40" s="93"/>
      <c r="Q40" s="36"/>
      <c r="R40" s="34"/>
      <c r="S40" s="35"/>
      <c r="T40" s="35"/>
      <c r="U40" s="35"/>
      <c r="V40" s="93"/>
      <c r="W40" s="93"/>
      <c r="X40" s="36"/>
      <c r="Y40" s="34" t="s">
        <v>183</v>
      </c>
      <c r="Z40" s="35" t="s">
        <v>183</v>
      </c>
      <c r="AA40" s="35" t="s">
        <v>136</v>
      </c>
      <c r="AB40" s="35" t="s">
        <v>184</v>
      </c>
      <c r="AC40" s="35" t="s">
        <v>184</v>
      </c>
      <c r="AD40" s="147">
        <v>0.86</v>
      </c>
      <c r="AE40" s="37">
        <v>0.94</v>
      </c>
      <c r="AF40" s="35"/>
      <c r="AG40" s="36"/>
      <c r="AH40" s="38">
        <v>6114.99</v>
      </c>
      <c r="AI40" s="39">
        <v>6114.99</v>
      </c>
      <c r="AJ40" s="39">
        <v>6114.99</v>
      </c>
      <c r="AK40" s="39">
        <v>8580.0499999999993</v>
      </c>
      <c r="AL40" s="182">
        <v>9378.19</v>
      </c>
      <c r="AM40" s="39"/>
      <c r="AN40" s="40"/>
      <c r="AO40" s="38">
        <v>2176.9499999999998</v>
      </c>
      <c r="AP40" s="39">
        <v>2579.19</v>
      </c>
      <c r="AQ40" s="39">
        <v>2934.15</v>
      </c>
      <c r="AR40" s="39">
        <v>1340.26</v>
      </c>
      <c r="AS40" s="182">
        <v>3512.91</v>
      </c>
      <c r="AT40" s="182"/>
      <c r="AU40" s="40"/>
      <c r="AV40" s="41">
        <f t="shared" si="60"/>
        <v>0.35600221750158217</v>
      </c>
      <c r="AW40" s="42">
        <f t="shared" si="60"/>
        <v>0.42178155647024773</v>
      </c>
      <c r="AX40" s="42">
        <f>AQ40/AJ40</f>
        <v>0.4798290757630021</v>
      </c>
      <c r="AY40" s="42">
        <f>AR40/AK40</f>
        <v>0.15620654891288513</v>
      </c>
      <c r="AZ40" s="183">
        <f>AS40/AL40</f>
        <v>0.37458294191096575</v>
      </c>
      <c r="BA40" s="183"/>
      <c r="BB40" s="183"/>
      <c r="BC40" s="41" t="s">
        <v>226</v>
      </c>
      <c r="BD40" s="44">
        <f>(AW40-$AV40)*100</f>
        <v>6.5779338968665559</v>
      </c>
      <c r="BE40" s="44">
        <f>(AX40-$AV40)*100</f>
        <v>12.382685826141993</v>
      </c>
      <c r="BF40" s="44">
        <f>(AY40-$AV40)*100</f>
        <v>-19.979566858869706</v>
      </c>
      <c r="BG40" s="184">
        <f>(AZ40-$AV40)*100</f>
        <v>1.8580724409383576</v>
      </c>
      <c r="BH40" s="184"/>
      <c r="BI40" s="184"/>
      <c r="BJ40" s="34" t="s">
        <v>226</v>
      </c>
      <c r="BK40" s="46">
        <f>(AW40-AV40)*100</f>
        <v>6.5779338968665559</v>
      </c>
      <c r="BL40" s="46">
        <f>(AX40-AW40)*100</f>
        <v>5.8047519292754366</v>
      </c>
      <c r="BM40" s="46">
        <f>(AY40-AX40)*100</f>
        <v>-32.362252685011697</v>
      </c>
      <c r="BN40" s="185">
        <f>(AZ40-AY40)*100</f>
        <v>21.83763929980806</v>
      </c>
      <c r="BO40" s="185"/>
      <c r="BP40" s="185"/>
      <c r="BQ40" s="41">
        <f>T40/M40</f>
        <v>0</v>
      </c>
      <c r="BR40" s="42">
        <f>U40/N40</f>
        <v>0</v>
      </c>
      <c r="BS40" s="183">
        <f>V40/O40</f>
        <v>0</v>
      </c>
      <c r="BT40" s="183"/>
      <c r="BU40" s="183"/>
      <c r="BV40" s="48"/>
      <c r="BW40" s="48"/>
    </row>
    <row r="41" spans="1:75" x14ac:dyDescent="0.25">
      <c r="A41" s="10">
        <v>105</v>
      </c>
      <c r="B41" s="33" t="s">
        <v>284</v>
      </c>
      <c r="C41" s="34">
        <v>2</v>
      </c>
      <c r="D41" s="35">
        <v>2</v>
      </c>
      <c r="E41" s="93">
        <v>2</v>
      </c>
      <c r="F41" s="93"/>
      <c r="G41" s="93"/>
      <c r="H41" s="34">
        <v>15</v>
      </c>
      <c r="I41" s="35">
        <v>15</v>
      </c>
      <c r="J41" s="93">
        <v>15</v>
      </c>
      <c r="K41" s="93"/>
      <c r="L41" s="36"/>
      <c r="M41" s="34">
        <v>7</v>
      </c>
      <c r="N41" s="35">
        <v>6</v>
      </c>
      <c r="O41" s="93">
        <v>6</v>
      </c>
      <c r="P41" s="93"/>
      <c r="Q41" s="36"/>
      <c r="R41" s="34">
        <v>1</v>
      </c>
      <c r="S41" s="35">
        <v>0</v>
      </c>
      <c r="T41" s="35">
        <v>0</v>
      </c>
      <c r="U41" s="35">
        <v>0</v>
      </c>
      <c r="V41" s="93">
        <v>0</v>
      </c>
      <c r="W41" s="93"/>
      <c r="X41" s="36"/>
      <c r="Y41" s="34"/>
      <c r="Z41" s="35"/>
      <c r="AA41" s="35"/>
      <c r="AB41" s="35"/>
      <c r="AC41" s="35"/>
      <c r="AD41" s="147"/>
      <c r="AE41" s="37"/>
      <c r="AF41" s="35"/>
      <c r="AG41" s="36"/>
      <c r="AH41" s="38">
        <v>2886</v>
      </c>
      <c r="AI41" s="39">
        <v>2990</v>
      </c>
      <c r="AJ41" s="39">
        <v>2930</v>
      </c>
      <c r="AK41" s="39">
        <v>3015</v>
      </c>
      <c r="AL41" s="182">
        <v>2812</v>
      </c>
      <c r="AM41" s="39"/>
      <c r="AN41" s="40"/>
      <c r="AO41" s="38">
        <v>2460</v>
      </c>
      <c r="AP41" s="39">
        <v>980</v>
      </c>
      <c r="AQ41" s="39">
        <v>1993</v>
      </c>
      <c r="AR41" s="39">
        <v>1652</v>
      </c>
      <c r="AS41" s="182">
        <v>1660</v>
      </c>
      <c r="AT41" s="182"/>
      <c r="AU41" s="40"/>
      <c r="AV41" s="41">
        <f t="shared" ref="AV41:AZ44" si="63">AO41/AH41</f>
        <v>0.85239085239085244</v>
      </c>
      <c r="AW41" s="42">
        <f t="shared" si="63"/>
        <v>0.32775919732441472</v>
      </c>
      <c r="AX41" s="42">
        <f t="shared" si="63"/>
        <v>0.68020477815699654</v>
      </c>
      <c r="AY41" s="42">
        <f t="shared" si="63"/>
        <v>0.54792703150912103</v>
      </c>
      <c r="AZ41" s="183">
        <f t="shared" si="63"/>
        <v>0.59032716927453766</v>
      </c>
      <c r="BA41" s="183"/>
      <c r="BB41" s="183"/>
      <c r="BC41" s="41" t="s">
        <v>226</v>
      </c>
      <c r="BD41" s="44">
        <f t="shared" ref="BD41:BG44" si="64">(AW41-$AV41)*100</f>
        <v>-52.463165506643769</v>
      </c>
      <c r="BE41" s="44">
        <f t="shared" si="64"/>
        <v>-17.218607423385592</v>
      </c>
      <c r="BF41" s="44">
        <f t="shared" si="64"/>
        <v>-30.446382088173142</v>
      </c>
      <c r="BG41" s="184">
        <f t="shared" si="64"/>
        <v>-26.206368311631479</v>
      </c>
      <c r="BH41" s="184"/>
      <c r="BI41" s="184"/>
      <c r="BJ41" s="34" t="s">
        <v>226</v>
      </c>
      <c r="BK41" s="46">
        <f t="shared" ref="BK41:BN43" si="65">(AW41-AV41)*100</f>
        <v>-52.463165506643769</v>
      </c>
      <c r="BL41" s="46">
        <f t="shared" si="65"/>
        <v>35.244558083258184</v>
      </c>
      <c r="BM41" s="46">
        <f t="shared" si="65"/>
        <v>-13.22777466478755</v>
      </c>
      <c r="BN41" s="185">
        <f t="shared" si="65"/>
        <v>4.2400137765416623</v>
      </c>
      <c r="BO41" s="185"/>
      <c r="BP41" s="185"/>
      <c r="BQ41" s="41">
        <f t="shared" ref="BQ41:BS44" si="66">T41/M41</f>
        <v>0</v>
      </c>
      <c r="BR41" s="42">
        <f t="shared" si="66"/>
        <v>0</v>
      </c>
      <c r="BS41" s="183">
        <f t="shared" si="66"/>
        <v>0</v>
      </c>
      <c r="BT41" s="183"/>
      <c r="BU41" s="183"/>
      <c r="BV41" s="48"/>
      <c r="BW41" s="48"/>
    </row>
    <row r="42" spans="1:75" x14ac:dyDescent="0.25">
      <c r="A42" s="10">
        <v>105</v>
      </c>
      <c r="B42" s="33" t="s">
        <v>285</v>
      </c>
      <c r="C42" s="34">
        <v>1</v>
      </c>
      <c r="D42" s="35">
        <v>1</v>
      </c>
      <c r="E42" s="93">
        <v>1</v>
      </c>
      <c r="F42" s="93"/>
      <c r="G42" s="93"/>
      <c r="H42" s="34">
        <v>0</v>
      </c>
      <c r="I42" s="35">
        <v>0</v>
      </c>
      <c r="J42" s="93">
        <v>0</v>
      </c>
      <c r="K42" s="93"/>
      <c r="L42" s="36"/>
      <c r="M42" s="34">
        <v>41</v>
      </c>
      <c r="N42" s="35">
        <v>41</v>
      </c>
      <c r="O42" s="93">
        <v>41</v>
      </c>
      <c r="P42" s="93"/>
      <c r="Q42" s="36"/>
      <c r="R42" s="34">
        <v>0</v>
      </c>
      <c r="S42" s="35">
        <v>0</v>
      </c>
      <c r="T42" s="35">
        <v>0</v>
      </c>
      <c r="U42" s="35">
        <v>0</v>
      </c>
      <c r="V42" s="93">
        <v>0</v>
      </c>
      <c r="W42" s="93"/>
      <c r="X42" s="36"/>
      <c r="Y42" s="34" t="s">
        <v>149</v>
      </c>
      <c r="Z42" s="35" t="s">
        <v>93</v>
      </c>
      <c r="AA42" s="35" t="s">
        <v>203</v>
      </c>
      <c r="AB42" s="35" t="s">
        <v>204</v>
      </c>
      <c r="AC42" s="35" t="s">
        <v>203</v>
      </c>
      <c r="AD42" s="147">
        <v>1.1499999999999999</v>
      </c>
      <c r="AE42" s="37">
        <v>1.1499999999999999</v>
      </c>
      <c r="AF42" s="35"/>
      <c r="AG42" s="36"/>
      <c r="AH42" s="38">
        <v>2336</v>
      </c>
      <c r="AI42" s="39">
        <v>3673</v>
      </c>
      <c r="AJ42" s="39">
        <v>5543</v>
      </c>
      <c r="AK42" s="39">
        <v>5252</v>
      </c>
      <c r="AL42" s="182">
        <v>3483</v>
      </c>
      <c r="AM42" s="39"/>
      <c r="AN42" s="40"/>
      <c r="AO42" s="38">
        <v>108</v>
      </c>
      <c r="AP42" s="39">
        <v>309</v>
      </c>
      <c r="AQ42" s="39">
        <v>606</v>
      </c>
      <c r="AR42" s="39">
        <v>1456</v>
      </c>
      <c r="AS42" s="182">
        <v>642</v>
      </c>
      <c r="AT42" s="182"/>
      <c r="AU42" s="40"/>
      <c r="AV42" s="41">
        <f t="shared" si="63"/>
        <v>4.6232876712328765E-2</v>
      </c>
      <c r="AW42" s="42">
        <f t="shared" si="63"/>
        <v>8.4127416280969231E-2</v>
      </c>
      <c r="AX42" s="42">
        <f t="shared" si="63"/>
        <v>0.10932707919898972</v>
      </c>
      <c r="AY42" s="42">
        <f t="shared" si="63"/>
        <v>0.27722772277227725</v>
      </c>
      <c r="AZ42" s="183">
        <f t="shared" si="63"/>
        <v>0.1843238587424634</v>
      </c>
      <c r="BA42" s="183"/>
      <c r="BB42" s="183"/>
      <c r="BC42" s="41" t="s">
        <v>226</v>
      </c>
      <c r="BD42" s="44">
        <f t="shared" si="64"/>
        <v>3.7894539568640466</v>
      </c>
      <c r="BE42" s="44">
        <f t="shared" si="64"/>
        <v>6.3094202486660951</v>
      </c>
      <c r="BF42" s="44">
        <f t="shared" si="64"/>
        <v>23.099484605994849</v>
      </c>
      <c r="BG42" s="184">
        <f t="shared" si="64"/>
        <v>13.809098203013464</v>
      </c>
      <c r="BH42" s="184"/>
      <c r="BI42" s="184"/>
      <c r="BJ42" s="34" t="s">
        <v>226</v>
      </c>
      <c r="BK42" s="46">
        <f t="shared" si="65"/>
        <v>3.7894539568640466</v>
      </c>
      <c r="BL42" s="46">
        <f t="shared" si="65"/>
        <v>2.5199662918020489</v>
      </c>
      <c r="BM42" s="46">
        <f t="shared" si="65"/>
        <v>16.790064357328756</v>
      </c>
      <c r="BN42" s="185">
        <f t="shared" si="65"/>
        <v>-9.290386402981385</v>
      </c>
      <c r="BO42" s="185"/>
      <c r="BP42" s="185"/>
      <c r="BQ42" s="41">
        <f t="shared" si="66"/>
        <v>0</v>
      </c>
      <c r="BR42" s="42">
        <f t="shared" si="66"/>
        <v>0</v>
      </c>
      <c r="BS42" s="183">
        <f t="shared" si="66"/>
        <v>0</v>
      </c>
      <c r="BT42" s="183"/>
      <c r="BU42" s="183"/>
      <c r="BV42" s="48"/>
      <c r="BW42" s="48"/>
    </row>
    <row r="43" spans="1:75" x14ac:dyDescent="0.25">
      <c r="A43" s="10">
        <v>105</v>
      </c>
      <c r="B43" s="33" t="s">
        <v>286</v>
      </c>
      <c r="C43" s="34">
        <v>2</v>
      </c>
      <c r="D43" s="35">
        <v>2</v>
      </c>
      <c r="E43" s="93">
        <v>2</v>
      </c>
      <c r="F43" s="93"/>
      <c r="G43" s="93"/>
      <c r="H43" s="34">
        <v>16</v>
      </c>
      <c r="I43" s="35">
        <v>13</v>
      </c>
      <c r="J43" s="93">
        <v>12</v>
      </c>
      <c r="K43" s="93"/>
      <c r="L43" s="36"/>
      <c r="M43" s="34">
        <v>11</v>
      </c>
      <c r="N43" s="35">
        <v>9</v>
      </c>
      <c r="O43" s="93">
        <v>10</v>
      </c>
      <c r="P43" s="93"/>
      <c r="Q43" s="36"/>
      <c r="R43" s="34">
        <v>0</v>
      </c>
      <c r="S43" s="35">
        <v>0</v>
      </c>
      <c r="T43" s="35">
        <v>0</v>
      </c>
      <c r="U43" s="35">
        <v>0</v>
      </c>
      <c r="V43" s="93">
        <v>0</v>
      </c>
      <c r="W43" s="93"/>
      <c r="X43" s="36"/>
      <c r="Y43" s="34" t="s">
        <v>205</v>
      </c>
      <c r="Z43" s="35" t="s">
        <v>205</v>
      </c>
      <c r="AA43" s="35" t="s">
        <v>206</v>
      </c>
      <c r="AB43" s="35" t="s">
        <v>206</v>
      </c>
      <c r="AC43" s="35" t="s">
        <v>92</v>
      </c>
      <c r="AD43" s="147">
        <v>0.17</v>
      </c>
      <c r="AE43" s="37">
        <v>0.45</v>
      </c>
      <c r="AF43" s="35"/>
      <c r="AG43" s="36"/>
      <c r="AH43" s="38">
        <v>701</v>
      </c>
      <c r="AI43" s="39">
        <v>701</v>
      </c>
      <c r="AJ43" s="39">
        <v>1023</v>
      </c>
      <c r="AK43" s="39">
        <v>1164</v>
      </c>
      <c r="AL43" s="182">
        <v>1188</v>
      </c>
      <c r="AM43" s="39"/>
      <c r="AN43" s="40"/>
      <c r="AO43" s="38">
        <v>53</v>
      </c>
      <c r="AP43" s="39">
        <v>97</v>
      </c>
      <c r="AQ43" s="39">
        <v>121</v>
      </c>
      <c r="AR43" s="39">
        <v>106</v>
      </c>
      <c r="AS43" s="182">
        <v>143</v>
      </c>
      <c r="AT43" s="182"/>
      <c r="AU43" s="40"/>
      <c r="AV43" s="41">
        <f t="shared" si="63"/>
        <v>7.5606276747503573E-2</v>
      </c>
      <c r="AW43" s="42">
        <f t="shared" si="63"/>
        <v>0.13837375178316691</v>
      </c>
      <c r="AX43" s="42">
        <f t="shared" si="63"/>
        <v>0.11827956989247312</v>
      </c>
      <c r="AY43" s="42">
        <f t="shared" si="63"/>
        <v>9.1065292096219927E-2</v>
      </c>
      <c r="AZ43" s="183">
        <f t="shared" si="63"/>
        <v>0.12037037037037036</v>
      </c>
      <c r="BA43" s="183"/>
      <c r="BB43" s="183"/>
      <c r="BC43" s="41" t="s">
        <v>226</v>
      </c>
      <c r="BD43" s="44">
        <f t="shared" si="64"/>
        <v>6.2767475035663338</v>
      </c>
      <c r="BE43" s="44">
        <f t="shared" si="64"/>
        <v>4.2673293144969549</v>
      </c>
      <c r="BF43" s="44">
        <f t="shared" si="64"/>
        <v>1.5459015348716354</v>
      </c>
      <c r="BG43" s="184">
        <f t="shared" si="64"/>
        <v>4.4764093622866792</v>
      </c>
      <c r="BH43" s="184"/>
      <c r="BI43" s="184"/>
      <c r="BJ43" s="34" t="s">
        <v>226</v>
      </c>
      <c r="BK43" s="46">
        <f t="shared" si="65"/>
        <v>6.2767475035663338</v>
      </c>
      <c r="BL43" s="46">
        <f t="shared" si="65"/>
        <v>-2.0094181890693785</v>
      </c>
      <c r="BM43" s="46">
        <f t="shared" si="65"/>
        <v>-2.7214277796253197</v>
      </c>
      <c r="BN43" s="185">
        <f t="shared" si="65"/>
        <v>2.9305078274150436</v>
      </c>
      <c r="BO43" s="185"/>
      <c r="BP43" s="185"/>
      <c r="BQ43" s="41">
        <f t="shared" si="66"/>
        <v>0</v>
      </c>
      <c r="BR43" s="42">
        <f t="shared" si="66"/>
        <v>0</v>
      </c>
      <c r="BS43" s="183">
        <f t="shared" si="66"/>
        <v>0</v>
      </c>
      <c r="BT43" s="183"/>
      <c r="BU43" s="183"/>
      <c r="BV43" s="48"/>
      <c r="BW43" s="48"/>
    </row>
    <row r="44" spans="1:75" x14ac:dyDescent="0.25">
      <c r="A44" s="10">
        <v>107</v>
      </c>
      <c r="B44" s="33" t="s">
        <v>199</v>
      </c>
      <c r="C44" s="34">
        <v>2</v>
      </c>
      <c r="D44" s="35">
        <v>1</v>
      </c>
      <c r="E44" s="35">
        <v>1</v>
      </c>
      <c r="F44" s="93"/>
      <c r="G44" s="36">
        <v>1</v>
      </c>
      <c r="H44" s="34">
        <v>39</v>
      </c>
      <c r="I44" s="35">
        <v>33</v>
      </c>
      <c r="J44" s="35">
        <v>33</v>
      </c>
      <c r="K44" s="93"/>
      <c r="L44" s="36">
        <v>22</v>
      </c>
      <c r="M44" s="34">
        <v>25</v>
      </c>
      <c r="N44" s="35">
        <v>18</v>
      </c>
      <c r="O44" s="35">
        <v>18</v>
      </c>
      <c r="P44" s="93"/>
      <c r="Q44" s="36">
        <v>34</v>
      </c>
      <c r="R44" s="34">
        <v>0</v>
      </c>
      <c r="S44" s="35">
        <v>0</v>
      </c>
      <c r="T44" s="35">
        <v>0</v>
      </c>
      <c r="U44" s="35">
        <v>0</v>
      </c>
      <c r="V44" s="35">
        <v>0</v>
      </c>
      <c r="W44" s="93"/>
      <c r="X44" s="36">
        <v>0</v>
      </c>
      <c r="Y44" s="34" t="s">
        <v>196</v>
      </c>
      <c r="Z44" s="35" t="s">
        <v>93</v>
      </c>
      <c r="AA44" s="35" t="s">
        <v>93</v>
      </c>
      <c r="AB44" s="93" t="s">
        <v>147</v>
      </c>
      <c r="AC44" s="35" t="s">
        <v>197</v>
      </c>
      <c r="AD44" s="147">
        <v>0.57999999999999996</v>
      </c>
      <c r="AE44" s="35">
        <v>0.7</v>
      </c>
      <c r="AF44" s="154"/>
      <c r="AG44" s="90" t="s">
        <v>422</v>
      </c>
      <c r="AH44" s="38">
        <v>4122</v>
      </c>
      <c r="AI44" s="39">
        <v>4200</v>
      </c>
      <c r="AJ44" s="39">
        <v>4791</v>
      </c>
      <c r="AK44" s="39">
        <v>4698</v>
      </c>
      <c r="AL44" s="39">
        <v>5164</v>
      </c>
      <c r="AM44" s="182"/>
      <c r="AN44" s="40">
        <v>2964</v>
      </c>
      <c r="AO44" s="38">
        <v>268</v>
      </c>
      <c r="AP44" s="39">
        <v>100</v>
      </c>
      <c r="AQ44" s="39">
        <v>415</v>
      </c>
      <c r="AR44" s="39">
        <v>319</v>
      </c>
      <c r="AS44" s="39">
        <v>307</v>
      </c>
      <c r="AT44" s="182"/>
      <c r="AU44" s="40">
        <v>671</v>
      </c>
      <c r="AV44" s="41">
        <f t="shared" si="63"/>
        <v>6.5016982047549729E-2</v>
      </c>
      <c r="AW44" s="42">
        <f t="shared" si="63"/>
        <v>2.3809523809523808E-2</v>
      </c>
      <c r="AX44" s="42">
        <f t="shared" si="63"/>
        <v>8.6620747234397832E-2</v>
      </c>
      <c r="AY44" s="42">
        <f t="shared" si="63"/>
        <v>6.7901234567901231E-2</v>
      </c>
      <c r="AZ44" s="42">
        <f t="shared" si="63"/>
        <v>5.9450038729666928E-2</v>
      </c>
      <c r="BA44" s="183"/>
      <c r="BB44" s="43">
        <f t="shared" si="11"/>
        <v>0.22638326585695007</v>
      </c>
      <c r="BC44" s="41" t="s">
        <v>226</v>
      </c>
      <c r="BD44" s="44">
        <f t="shared" si="64"/>
        <v>-4.1207458238025918</v>
      </c>
      <c r="BE44" s="44">
        <f t="shared" si="64"/>
        <v>2.1603765186848105</v>
      </c>
      <c r="BF44" s="44">
        <f t="shared" si="64"/>
        <v>0.28842525203515018</v>
      </c>
      <c r="BG44" s="44">
        <f t="shared" si="64"/>
        <v>-0.55669433178828009</v>
      </c>
      <c r="BH44" s="184"/>
      <c r="BI44" s="45">
        <f t="shared" si="54"/>
        <v>16.136628380940031</v>
      </c>
      <c r="BJ44" s="34" t="s">
        <v>226</v>
      </c>
      <c r="BK44" s="46">
        <f t="shared" ref="BK44:BN44" si="67">(AW44-AV44)*100</f>
        <v>-4.1207458238025918</v>
      </c>
      <c r="BL44" s="46">
        <f t="shared" si="67"/>
        <v>6.2811223424874028</v>
      </c>
      <c r="BM44" s="46">
        <f t="shared" si="67"/>
        <v>-1.8719512666496603</v>
      </c>
      <c r="BN44" s="46">
        <f t="shared" si="67"/>
        <v>-0.84511958382343033</v>
      </c>
      <c r="BO44" s="185"/>
      <c r="BP44" s="47"/>
      <c r="BQ44" s="41">
        <f t="shared" si="66"/>
        <v>0</v>
      </c>
      <c r="BR44" s="42">
        <f t="shared" si="66"/>
        <v>0</v>
      </c>
      <c r="BS44" s="42">
        <f t="shared" si="66"/>
        <v>0</v>
      </c>
      <c r="BT44" s="183"/>
      <c r="BU44" s="183">
        <f t="shared" si="19"/>
        <v>0</v>
      </c>
      <c r="BV44" s="48"/>
      <c r="BW44" s="48"/>
    </row>
    <row r="45" spans="1:75" x14ac:dyDescent="0.25">
      <c r="A45" s="10">
        <v>107</v>
      </c>
      <c r="B45" s="33" t="s">
        <v>202</v>
      </c>
      <c r="C45" s="34">
        <v>0</v>
      </c>
      <c r="D45" s="35">
        <v>3</v>
      </c>
      <c r="E45" s="35">
        <v>3</v>
      </c>
      <c r="F45" s="93">
        <v>0</v>
      </c>
      <c r="G45" s="93"/>
      <c r="H45" s="34"/>
      <c r="I45" s="35">
        <v>110</v>
      </c>
      <c r="J45" s="35">
        <v>110</v>
      </c>
      <c r="K45" s="93">
        <v>114</v>
      </c>
      <c r="L45" s="36"/>
      <c r="M45" s="34">
        <v>0</v>
      </c>
      <c r="N45" s="35">
        <v>0</v>
      </c>
      <c r="O45" s="35">
        <v>62</v>
      </c>
      <c r="P45" s="93">
        <v>8</v>
      </c>
      <c r="Q45" s="36"/>
      <c r="R45" s="34">
        <v>0</v>
      </c>
      <c r="S45" s="35">
        <v>0</v>
      </c>
      <c r="T45" s="35">
        <v>0</v>
      </c>
      <c r="U45" s="35">
        <v>0</v>
      </c>
      <c r="V45" s="35">
        <v>0</v>
      </c>
      <c r="W45" s="93">
        <v>0</v>
      </c>
      <c r="X45" s="36"/>
      <c r="Y45" s="34"/>
      <c r="Z45" s="35"/>
      <c r="AA45" s="35"/>
      <c r="AB45" s="93">
        <v>38.22</v>
      </c>
      <c r="AC45" s="89">
        <v>29</v>
      </c>
      <c r="AD45" s="151"/>
      <c r="AE45" s="89"/>
      <c r="AF45" s="89">
        <v>29</v>
      </c>
      <c r="AG45" s="90"/>
      <c r="AH45" s="38"/>
      <c r="AI45" s="39"/>
      <c r="AJ45" s="39"/>
      <c r="AK45" s="39"/>
      <c r="AL45" s="39">
        <v>22155</v>
      </c>
      <c r="AM45" s="39">
        <v>29004</v>
      </c>
      <c r="AN45" s="40"/>
      <c r="AO45" s="38"/>
      <c r="AP45" s="39"/>
      <c r="AQ45" s="39"/>
      <c r="AR45" s="39"/>
      <c r="AS45" s="39">
        <v>7014</v>
      </c>
      <c r="AT45" s="182">
        <v>3978</v>
      </c>
      <c r="AU45" s="40"/>
      <c r="AV45" s="41"/>
      <c r="AW45" s="42"/>
      <c r="AX45" s="42"/>
      <c r="AY45" s="42"/>
      <c r="AZ45" s="42">
        <f t="shared" ref="AZ45:AZ46" si="68">AS45/AL45</f>
        <v>0.31658767772511848</v>
      </c>
      <c r="BA45" s="183">
        <v>0.14000000000000001</v>
      </c>
      <c r="BB45" s="183"/>
      <c r="BC45" s="41" t="s">
        <v>226</v>
      </c>
      <c r="BD45" s="44"/>
      <c r="BE45" s="44"/>
      <c r="BF45" s="44"/>
      <c r="BG45" s="44"/>
      <c r="BH45" s="184"/>
      <c r="BI45" s="184"/>
      <c r="BJ45" s="34" t="s">
        <v>226</v>
      </c>
      <c r="BK45" s="46"/>
      <c r="BL45" s="46"/>
      <c r="BM45" s="46"/>
      <c r="BN45" s="46"/>
      <c r="BO45" s="185">
        <f t="shared" ref="BO45" si="69">(BA45-AZ45)*100</f>
        <v>-17.658767772511847</v>
      </c>
      <c r="BP45" s="185"/>
      <c r="BQ45" s="41"/>
      <c r="BR45" s="42"/>
      <c r="BS45" s="42">
        <f>V45/O45</f>
        <v>0</v>
      </c>
      <c r="BT45" s="183">
        <f t="shared" ref="BT45" si="70">W45/P45</f>
        <v>0</v>
      </c>
      <c r="BU45" s="183"/>
      <c r="BV45" s="48"/>
      <c r="BW45" s="48"/>
    </row>
    <row r="46" spans="1:75" ht="15.75" thickBot="1" x14ac:dyDescent="0.3">
      <c r="A46" s="10">
        <v>107</v>
      </c>
      <c r="B46" s="33" t="s">
        <v>200</v>
      </c>
      <c r="C46" s="34">
        <v>1</v>
      </c>
      <c r="D46" s="35">
        <v>1</v>
      </c>
      <c r="E46" s="35">
        <v>1</v>
      </c>
      <c r="F46" s="93"/>
      <c r="G46" s="36">
        <v>1</v>
      </c>
      <c r="H46" s="34">
        <v>37</v>
      </c>
      <c r="I46" s="35">
        <v>39</v>
      </c>
      <c r="J46" s="35">
        <v>34</v>
      </c>
      <c r="K46" s="93"/>
      <c r="L46" s="36">
        <v>18</v>
      </c>
      <c r="M46" s="34">
        <v>18</v>
      </c>
      <c r="N46" s="35">
        <v>18</v>
      </c>
      <c r="O46" s="35">
        <v>18</v>
      </c>
      <c r="P46" s="93"/>
      <c r="Q46" s="36">
        <v>22</v>
      </c>
      <c r="R46" s="34">
        <v>0</v>
      </c>
      <c r="S46" s="35">
        <v>0</v>
      </c>
      <c r="T46" s="35">
        <v>0</v>
      </c>
      <c r="U46" s="35">
        <v>0</v>
      </c>
      <c r="V46" s="35">
        <v>0</v>
      </c>
      <c r="W46" s="93"/>
      <c r="X46" s="36">
        <v>0</v>
      </c>
      <c r="Y46" s="34" t="s">
        <v>198</v>
      </c>
      <c r="Z46" s="35" t="s">
        <v>91</v>
      </c>
      <c r="AA46" s="35" t="s">
        <v>198</v>
      </c>
      <c r="AB46" s="93" t="s">
        <v>89</v>
      </c>
      <c r="AC46" s="35" t="s">
        <v>171</v>
      </c>
      <c r="AD46" s="147">
        <v>0.5</v>
      </c>
      <c r="AE46" s="35">
        <v>0.56000000000000005</v>
      </c>
      <c r="AF46" s="154"/>
      <c r="AG46" s="90" t="s">
        <v>423</v>
      </c>
      <c r="AH46" s="38">
        <v>890</v>
      </c>
      <c r="AI46" s="39">
        <v>940</v>
      </c>
      <c r="AJ46" s="39">
        <v>789</v>
      </c>
      <c r="AK46" s="39">
        <v>900</v>
      </c>
      <c r="AL46" s="39">
        <v>1169</v>
      </c>
      <c r="AM46" s="182"/>
      <c r="AN46" s="40">
        <v>4557</v>
      </c>
      <c r="AO46" s="38">
        <v>29</v>
      </c>
      <c r="AP46" s="39">
        <v>41</v>
      </c>
      <c r="AQ46" s="39">
        <v>378</v>
      </c>
      <c r="AR46" s="39">
        <v>497</v>
      </c>
      <c r="AS46" s="39">
        <v>268</v>
      </c>
      <c r="AT46" s="182"/>
      <c r="AU46" s="40">
        <v>298</v>
      </c>
      <c r="AV46" s="41">
        <f t="shared" ref="AV46:AY46" si="71">AO46/AH46</f>
        <v>3.2584269662921349E-2</v>
      </c>
      <c r="AW46" s="42">
        <f t="shared" si="71"/>
        <v>4.3617021276595745E-2</v>
      </c>
      <c r="AX46" s="42">
        <f t="shared" si="71"/>
        <v>0.47908745247148288</v>
      </c>
      <c r="AY46" s="42">
        <f t="shared" si="71"/>
        <v>0.55222222222222217</v>
      </c>
      <c r="AZ46" s="42">
        <f t="shared" si="68"/>
        <v>0.2292557741659538</v>
      </c>
      <c r="BA46" s="183"/>
      <c r="BB46" s="43">
        <f t="shared" si="11"/>
        <v>6.5393899495281987E-2</v>
      </c>
      <c r="BC46" s="41" t="s">
        <v>226</v>
      </c>
      <c r="BD46" s="44">
        <f t="shared" ref="BD46:BG46" si="72">(AW46-$AV46)*100</f>
        <v>1.1032751613674396</v>
      </c>
      <c r="BE46" s="44">
        <f t="shared" si="72"/>
        <v>44.650318280856155</v>
      </c>
      <c r="BF46" s="44">
        <f t="shared" si="72"/>
        <v>51.96379525593008</v>
      </c>
      <c r="BG46" s="44">
        <f t="shared" si="72"/>
        <v>19.667150450303243</v>
      </c>
      <c r="BH46" s="184"/>
      <c r="BI46" s="45">
        <f t="shared" si="54"/>
        <v>3.2809629832360638</v>
      </c>
      <c r="BJ46" s="34" t="s">
        <v>226</v>
      </c>
      <c r="BK46" s="46">
        <f t="shared" ref="BK46:BN46" si="73">(AW46-AV46)*100</f>
        <v>1.1032751613674396</v>
      </c>
      <c r="BL46" s="46">
        <f t="shared" si="73"/>
        <v>43.547043119488713</v>
      </c>
      <c r="BM46" s="46">
        <f t="shared" si="73"/>
        <v>7.3134769750739288</v>
      </c>
      <c r="BN46" s="46">
        <f t="shared" si="73"/>
        <v>-32.29664480562684</v>
      </c>
      <c r="BO46" s="185"/>
      <c r="BP46" s="47"/>
      <c r="BQ46" s="41">
        <f t="shared" ref="BQ46:BS46" si="74">T46/M46</f>
        <v>0</v>
      </c>
      <c r="BR46" s="42">
        <f t="shared" si="74"/>
        <v>0</v>
      </c>
      <c r="BS46" s="42">
        <f t="shared" si="74"/>
        <v>0</v>
      </c>
      <c r="BT46" s="183"/>
      <c r="BU46" s="183">
        <f t="shared" si="19"/>
        <v>0</v>
      </c>
      <c r="BV46" s="417"/>
      <c r="BW46" s="417"/>
    </row>
    <row r="47" spans="1:75" s="188" customFormat="1" ht="15.75" thickBot="1" x14ac:dyDescent="0.3">
      <c r="A47" s="186"/>
      <c r="B47" s="187" t="s">
        <v>354</v>
      </c>
      <c r="C47" s="291">
        <f t="shared" ref="C47:X47" si="75">SUM(C3:C46)</f>
        <v>186</v>
      </c>
      <c r="D47" s="290">
        <f t="shared" si="75"/>
        <v>196</v>
      </c>
      <c r="E47" s="290">
        <f t="shared" si="75"/>
        <v>196</v>
      </c>
      <c r="F47" s="290">
        <f t="shared" si="75"/>
        <v>16</v>
      </c>
      <c r="G47" s="290">
        <f t="shared" si="75"/>
        <v>14</v>
      </c>
      <c r="H47" s="290">
        <f t="shared" si="75"/>
        <v>3548</v>
      </c>
      <c r="I47" s="293">
        <f t="shared" si="75"/>
        <v>3726</v>
      </c>
      <c r="J47" s="294">
        <f t="shared" si="75"/>
        <v>3713</v>
      </c>
      <c r="K47" s="292">
        <f t="shared" si="75"/>
        <v>472</v>
      </c>
      <c r="L47" s="292">
        <f t="shared" si="75"/>
        <v>401</v>
      </c>
      <c r="M47" s="296">
        <f t="shared" si="75"/>
        <v>905</v>
      </c>
      <c r="N47" s="296">
        <f t="shared" si="75"/>
        <v>1090</v>
      </c>
      <c r="O47" s="296">
        <f t="shared" si="75"/>
        <v>1294</v>
      </c>
      <c r="P47" s="296">
        <f t="shared" si="75"/>
        <v>170</v>
      </c>
      <c r="Q47" s="296">
        <f t="shared" si="75"/>
        <v>223</v>
      </c>
      <c r="R47" s="296">
        <f t="shared" si="75"/>
        <v>20</v>
      </c>
      <c r="S47" s="296">
        <f t="shared" si="75"/>
        <v>6</v>
      </c>
      <c r="T47" s="296">
        <f t="shared" si="75"/>
        <v>30</v>
      </c>
      <c r="U47" s="296">
        <f t="shared" si="75"/>
        <v>31</v>
      </c>
      <c r="V47" s="296">
        <f t="shared" si="75"/>
        <v>45</v>
      </c>
      <c r="W47" s="296">
        <f t="shared" si="75"/>
        <v>10</v>
      </c>
      <c r="X47" s="296">
        <f t="shared" si="75"/>
        <v>8</v>
      </c>
      <c r="Y47" s="290"/>
      <c r="Z47" s="290"/>
      <c r="AA47" s="290"/>
      <c r="AB47" s="290"/>
      <c r="AC47" s="290"/>
      <c r="AD47" s="290"/>
      <c r="AE47" s="290"/>
      <c r="AF47" s="297"/>
      <c r="AG47" s="297"/>
      <c r="AH47" s="298">
        <f t="shared" ref="AH47:AU47" si="76">SUM(AH3:AH46)</f>
        <v>947538.44</v>
      </c>
      <c r="AI47" s="298">
        <f t="shared" si="76"/>
        <v>980700.86</v>
      </c>
      <c r="AJ47" s="299">
        <f t="shared" si="76"/>
        <v>1166263.69</v>
      </c>
      <c r="AK47" s="300">
        <f t="shared" si="76"/>
        <v>1251075.1100000001</v>
      </c>
      <c r="AL47" s="301">
        <f t="shared" si="76"/>
        <v>1287633.3999999999</v>
      </c>
      <c r="AM47" s="296">
        <f t="shared" si="76"/>
        <v>176753.46</v>
      </c>
      <c r="AN47" s="296">
        <f t="shared" si="76"/>
        <v>121548.53</v>
      </c>
      <c r="AO47" s="296">
        <f t="shared" si="76"/>
        <v>98370.27</v>
      </c>
      <c r="AP47" s="296">
        <f t="shared" si="76"/>
        <v>106995.03</v>
      </c>
      <c r="AQ47" s="296">
        <f t="shared" si="76"/>
        <v>140465.63999999998</v>
      </c>
      <c r="AR47" s="296">
        <f t="shared" si="76"/>
        <v>186465.69</v>
      </c>
      <c r="AS47" s="296">
        <f t="shared" si="76"/>
        <v>255518.69000000003</v>
      </c>
      <c r="AT47" s="296">
        <f t="shared" si="76"/>
        <v>38774.81</v>
      </c>
      <c r="AU47" s="296">
        <f t="shared" si="76"/>
        <v>26289.219999999998</v>
      </c>
      <c r="AV47" s="302"/>
      <c r="AW47" s="302"/>
      <c r="AX47" s="302"/>
      <c r="AY47" s="302"/>
      <c r="AZ47" s="302"/>
      <c r="BA47" s="303"/>
      <c r="BB47" s="107"/>
      <c r="BC47" s="306"/>
      <c r="BD47" s="305"/>
      <c r="BE47" s="305"/>
      <c r="BF47" s="305"/>
      <c r="BG47" s="305"/>
      <c r="BH47" s="305"/>
      <c r="BI47" s="305"/>
      <c r="BJ47" s="305"/>
      <c r="BK47" s="305"/>
      <c r="BL47" s="305"/>
      <c r="BM47" s="305"/>
      <c r="BN47" s="305"/>
      <c r="BO47" s="305"/>
      <c r="BP47" s="305"/>
      <c r="BQ47" s="302"/>
      <c r="BR47" s="302"/>
      <c r="BS47" s="302"/>
      <c r="BT47" s="302"/>
      <c r="BU47" s="107"/>
      <c r="BV47" s="107"/>
      <c r="BW47" s="107"/>
    </row>
    <row r="48" spans="1:75" s="188" customFormat="1" ht="15.75" thickBot="1" x14ac:dyDescent="0.3">
      <c r="B48" s="189" t="s">
        <v>355</v>
      </c>
      <c r="C48" s="222"/>
      <c r="M48" s="191">
        <f t="shared" ref="M48:BB48" si="77">AVERAGE(M3:M46)</f>
        <v>26.617647058823529</v>
      </c>
      <c r="N48" s="191">
        <f t="shared" si="77"/>
        <v>32.058823529411768</v>
      </c>
      <c r="O48" s="191">
        <f t="shared" si="77"/>
        <v>38.058823529411768</v>
      </c>
      <c r="P48" s="191">
        <f t="shared" si="77"/>
        <v>12.142857142857142</v>
      </c>
      <c r="Q48" s="191">
        <f t="shared" si="77"/>
        <v>13.9375</v>
      </c>
      <c r="R48" s="191">
        <f t="shared" si="77"/>
        <v>0.64516129032258063</v>
      </c>
      <c r="S48" s="191">
        <f t="shared" si="77"/>
        <v>0.19354838709677419</v>
      </c>
      <c r="T48" s="191">
        <f t="shared" si="77"/>
        <v>0.967741935483871</v>
      </c>
      <c r="U48" s="191">
        <f t="shared" si="77"/>
        <v>1</v>
      </c>
      <c r="V48" s="191">
        <f t="shared" si="77"/>
        <v>1.4516129032258065</v>
      </c>
      <c r="W48" s="191">
        <f t="shared" si="77"/>
        <v>0.7142857142857143</v>
      </c>
      <c r="X48" s="191">
        <f t="shared" si="77"/>
        <v>0.5</v>
      </c>
      <c r="Y48" s="227">
        <f t="shared" si="77"/>
        <v>25.107500000000002</v>
      </c>
      <c r="Z48" s="227">
        <f t="shared" si="77"/>
        <v>27.597777777777779</v>
      </c>
      <c r="AA48" s="227">
        <f t="shared" si="77"/>
        <v>35.81</v>
      </c>
      <c r="AB48" s="227">
        <f t="shared" si="77"/>
        <v>34.390999999999998</v>
      </c>
      <c r="AC48" s="227">
        <f t="shared" si="77"/>
        <v>31.901000000000003</v>
      </c>
      <c r="AD48" s="227">
        <f t="shared" si="77"/>
        <v>0.6478947368421053</v>
      </c>
      <c r="AE48" s="227">
        <f t="shared" si="77"/>
        <v>0.71421052631578952</v>
      </c>
      <c r="AF48" s="227">
        <f t="shared" si="77"/>
        <v>32.128</v>
      </c>
      <c r="AG48" s="227" t="s">
        <v>435</v>
      </c>
      <c r="AH48" s="191">
        <f t="shared" si="77"/>
        <v>30565.756129032256</v>
      </c>
      <c r="AI48" s="191">
        <f t="shared" si="77"/>
        <v>31635.511612903225</v>
      </c>
      <c r="AJ48" s="191">
        <f t="shared" si="77"/>
        <v>34301.873235294115</v>
      </c>
      <c r="AK48" s="191">
        <f t="shared" si="77"/>
        <v>35745.003142857146</v>
      </c>
      <c r="AL48" s="191">
        <f t="shared" si="77"/>
        <v>34800.902702702697</v>
      </c>
      <c r="AM48" s="191">
        <f t="shared" si="77"/>
        <v>12625.247142857143</v>
      </c>
      <c r="AN48" s="191">
        <f t="shared" si="77"/>
        <v>7596.7831249999999</v>
      </c>
      <c r="AO48" s="191">
        <f t="shared" si="77"/>
        <v>3643.3433333333337</v>
      </c>
      <c r="AP48" s="191">
        <f t="shared" si="77"/>
        <v>3962.778888888889</v>
      </c>
      <c r="AQ48" s="191">
        <f t="shared" si="77"/>
        <v>4682.1879999999992</v>
      </c>
      <c r="AR48" s="191">
        <f t="shared" si="77"/>
        <v>5650.4754545454543</v>
      </c>
      <c r="AS48" s="192">
        <f t="shared" si="77"/>
        <v>7097.7413888888896</v>
      </c>
      <c r="AT48" s="191">
        <f t="shared" si="77"/>
        <v>2769.6292857142857</v>
      </c>
      <c r="AU48" s="191">
        <f t="shared" si="77"/>
        <v>1643.0762499999998</v>
      </c>
      <c r="AV48" s="193">
        <f t="shared" si="77"/>
        <v>0.11623749818846253</v>
      </c>
      <c r="AW48" s="193">
        <f t="shared" si="77"/>
        <v>9.482207807608406E-2</v>
      </c>
      <c r="AX48" s="193">
        <f t="shared" si="77"/>
        <v>0.12240028872917899</v>
      </c>
      <c r="AY48" s="193">
        <f t="shared" si="77"/>
        <v>0.16066346758091635</v>
      </c>
      <c r="AZ48" s="193">
        <f t="shared" si="77"/>
        <v>0.23439761179899898</v>
      </c>
      <c r="BA48" s="193">
        <f t="shared" si="77"/>
        <v>0.22866514966361409</v>
      </c>
      <c r="BB48" s="304">
        <f t="shared" si="77"/>
        <v>0.24680858931380881</v>
      </c>
      <c r="BD48" s="194">
        <f t="shared" ref="BD48:BI48" si="78">AVERAGE(BD3:BD46)</f>
        <v>-2.4588074943841973</v>
      </c>
      <c r="BE48" s="194">
        <f t="shared" si="78"/>
        <v>1.2114325779005357</v>
      </c>
      <c r="BF48" s="194">
        <f t="shared" si="78"/>
        <v>5.8145335588543103</v>
      </c>
      <c r="BG48" s="194">
        <f t="shared" si="78"/>
        <v>11.957987750174551</v>
      </c>
      <c r="BH48" s="194">
        <f t="shared" si="78"/>
        <v>14.387258888151132</v>
      </c>
      <c r="BI48" s="194">
        <f t="shared" si="78"/>
        <v>2.5356973323449008</v>
      </c>
      <c r="BK48" s="194">
        <f t="shared" ref="BK48:BU48" si="79">AVERAGE(BK3:BK46)</f>
        <v>-2.4588074943841973</v>
      </c>
      <c r="BL48" s="194">
        <f t="shared" si="79"/>
        <v>3.6702400722847335</v>
      </c>
      <c r="BM48" s="194">
        <f t="shared" si="79"/>
        <v>4.3224729910568458</v>
      </c>
      <c r="BN48" s="194">
        <f t="shared" si="79"/>
        <v>6.4046048618344829</v>
      </c>
      <c r="BO48" s="194">
        <f t="shared" si="79"/>
        <v>-2.9630151035562537</v>
      </c>
      <c r="BP48" s="194">
        <f t="shared" si="79"/>
        <v>-4.5127345809622508</v>
      </c>
      <c r="BQ48" s="193">
        <f t="shared" si="79"/>
        <v>1.3743738260651058E-3</v>
      </c>
      <c r="BR48" s="193">
        <f t="shared" si="79"/>
        <v>5.693910071603049E-3</v>
      </c>
      <c r="BS48" s="193">
        <f t="shared" si="79"/>
        <v>1.3157331107995244E-2</v>
      </c>
      <c r="BT48" s="193">
        <f t="shared" si="79"/>
        <v>3.6288998357963877E-2</v>
      </c>
      <c r="BU48" s="193">
        <f t="shared" si="79"/>
        <v>2.9067460317460318E-2</v>
      </c>
    </row>
    <row r="49" spans="2:2" ht="18" x14ac:dyDescent="0.25">
      <c r="B49" s="140"/>
    </row>
  </sheetData>
  <mergeCells count="14">
    <mergeCell ref="Y1:AG1"/>
    <mergeCell ref="BV1:BV2"/>
    <mergeCell ref="BW1:BW2"/>
    <mergeCell ref="AH1:AN1"/>
    <mergeCell ref="AO1:AU1"/>
    <mergeCell ref="AV1:BB1"/>
    <mergeCell ref="BC1:BI1"/>
    <mergeCell ref="BJ1:BP1"/>
    <mergeCell ref="BQ1:BU1"/>
    <mergeCell ref="A1:B1"/>
    <mergeCell ref="C1:G1"/>
    <mergeCell ref="H1:L1"/>
    <mergeCell ref="M1:Q1"/>
    <mergeCell ref="R1:X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BW144"/>
  <sheetViews>
    <sheetView workbookViewId="0">
      <pane xSplit="2" ySplit="2" topLeftCell="C3" activePane="bottomRight" state="frozenSplit"/>
      <selection pane="topRight" activeCell="C1" sqref="C1"/>
      <selection pane="bottomLeft" activeCell="A3" sqref="A3"/>
      <selection pane="bottomRight" activeCell="BV17" sqref="BV17"/>
    </sheetView>
  </sheetViews>
  <sheetFormatPr defaultRowHeight="15" x14ac:dyDescent="0.25"/>
  <cols>
    <col min="1" max="1" width="6.28515625" style="14" customWidth="1"/>
    <col min="2" max="2" width="45.28515625" style="121" customWidth="1"/>
    <col min="3" max="24" width="9.140625" style="14"/>
    <col min="25" max="28" width="12.28515625" style="14" customWidth="1"/>
    <col min="29" max="29" width="12.42578125" style="14" customWidth="1"/>
    <col min="30" max="31" width="12.28515625" style="14" hidden="1" customWidth="1"/>
    <col min="32" max="33" width="12.28515625" style="14" customWidth="1"/>
    <col min="34" max="47" width="10.85546875" style="14" customWidth="1"/>
    <col min="48" max="61" width="10.28515625" style="14" customWidth="1"/>
    <col min="62" max="62" width="11.140625" style="14" customWidth="1"/>
    <col min="63" max="63" width="10.28515625" style="14" customWidth="1"/>
    <col min="64" max="65" width="10.140625" style="14" customWidth="1"/>
    <col min="66" max="66" width="10.140625" style="14" bestFit="1" customWidth="1"/>
    <col min="67" max="68" width="10.140625" style="14" customWidth="1"/>
    <col min="69" max="71" width="10.140625" style="14" bestFit="1" customWidth="1"/>
    <col min="72" max="73" width="10.140625" style="14" customWidth="1"/>
    <col min="74" max="75" width="20.140625" style="14" customWidth="1"/>
    <col min="76" max="16384" width="9.140625" style="14"/>
  </cols>
  <sheetData>
    <row r="1" spans="1:75" s="113" customFormat="1" ht="57" customHeight="1" thickBot="1" x14ac:dyDescent="0.3">
      <c r="A1" s="365"/>
      <c r="B1" s="366"/>
      <c r="C1" s="365" t="s">
        <v>73</v>
      </c>
      <c r="D1" s="367"/>
      <c r="E1" s="367"/>
      <c r="F1" s="367"/>
      <c r="G1" s="366"/>
      <c r="H1" s="365" t="s">
        <v>74</v>
      </c>
      <c r="I1" s="367"/>
      <c r="J1" s="367"/>
      <c r="K1" s="367"/>
      <c r="L1" s="366"/>
      <c r="M1" s="365" t="s">
        <v>75</v>
      </c>
      <c r="N1" s="367"/>
      <c r="O1" s="367"/>
      <c r="P1" s="367"/>
      <c r="Q1" s="366"/>
      <c r="R1" s="365" t="s">
        <v>76</v>
      </c>
      <c r="S1" s="367"/>
      <c r="T1" s="367"/>
      <c r="U1" s="367"/>
      <c r="V1" s="367"/>
      <c r="W1" s="367"/>
      <c r="X1" s="366"/>
      <c r="Y1" s="365" t="s">
        <v>72</v>
      </c>
      <c r="Z1" s="367"/>
      <c r="AA1" s="367"/>
      <c r="AB1" s="367"/>
      <c r="AC1" s="367"/>
      <c r="AD1" s="367"/>
      <c r="AE1" s="367"/>
      <c r="AF1" s="367"/>
      <c r="AG1" s="366"/>
      <c r="AH1" s="365" t="s">
        <v>300</v>
      </c>
      <c r="AI1" s="367"/>
      <c r="AJ1" s="367"/>
      <c r="AK1" s="367"/>
      <c r="AL1" s="367"/>
      <c r="AM1" s="367"/>
      <c r="AN1" s="366"/>
      <c r="AO1" s="365" t="s">
        <v>71</v>
      </c>
      <c r="AP1" s="367"/>
      <c r="AQ1" s="367"/>
      <c r="AR1" s="367"/>
      <c r="AS1" s="367"/>
      <c r="AT1" s="367"/>
      <c r="AU1" s="366"/>
      <c r="AV1" s="365" t="s">
        <v>299</v>
      </c>
      <c r="AW1" s="367"/>
      <c r="AX1" s="367"/>
      <c r="AY1" s="367"/>
      <c r="AZ1" s="367"/>
      <c r="BA1" s="367"/>
      <c r="BB1" s="366"/>
      <c r="BC1" s="365" t="s">
        <v>301</v>
      </c>
      <c r="BD1" s="367"/>
      <c r="BE1" s="367"/>
      <c r="BF1" s="367"/>
      <c r="BG1" s="367"/>
      <c r="BH1" s="367"/>
      <c r="BI1" s="366"/>
      <c r="BJ1" s="365" t="s">
        <v>302</v>
      </c>
      <c r="BK1" s="367"/>
      <c r="BL1" s="367"/>
      <c r="BM1" s="367"/>
      <c r="BN1" s="367"/>
      <c r="BO1" s="367"/>
      <c r="BP1" s="366"/>
      <c r="BQ1" s="370" t="s">
        <v>237</v>
      </c>
      <c r="BR1" s="371"/>
      <c r="BS1" s="371"/>
      <c r="BT1" s="371"/>
      <c r="BU1" s="372"/>
      <c r="BV1" s="368" t="s">
        <v>320</v>
      </c>
      <c r="BW1" s="368" t="s">
        <v>321</v>
      </c>
    </row>
    <row r="2" spans="1:75" s="113" customFormat="1" ht="45.75" thickBot="1" x14ac:dyDescent="0.3">
      <c r="A2" s="333" t="s">
        <v>430</v>
      </c>
      <c r="B2" s="115" t="s">
        <v>0</v>
      </c>
      <c r="C2" s="114" t="s">
        <v>66</v>
      </c>
      <c r="D2" s="158" t="s">
        <v>67</v>
      </c>
      <c r="E2" s="310" t="s">
        <v>68</v>
      </c>
      <c r="F2" s="117" t="s">
        <v>319</v>
      </c>
      <c r="G2" s="158" t="s">
        <v>371</v>
      </c>
      <c r="H2" s="114" t="s">
        <v>66</v>
      </c>
      <c r="I2" s="158" t="s">
        <v>67</v>
      </c>
      <c r="J2" s="310" t="s">
        <v>68</v>
      </c>
      <c r="K2" s="117" t="s">
        <v>319</v>
      </c>
      <c r="L2" s="158" t="s">
        <v>371</v>
      </c>
      <c r="M2" s="114" t="s">
        <v>66</v>
      </c>
      <c r="N2" s="158" t="s">
        <v>67</v>
      </c>
      <c r="O2" s="310" t="s">
        <v>68</v>
      </c>
      <c r="P2" s="117" t="s">
        <v>319</v>
      </c>
      <c r="Q2" s="158" t="s">
        <v>371</v>
      </c>
      <c r="R2" s="114" t="s">
        <v>69</v>
      </c>
      <c r="S2" s="158" t="s">
        <v>70</v>
      </c>
      <c r="T2" s="117" t="s">
        <v>66</v>
      </c>
      <c r="U2" s="158" t="s">
        <v>67</v>
      </c>
      <c r="V2" s="310" t="s">
        <v>68</v>
      </c>
      <c r="W2" s="117" t="s">
        <v>319</v>
      </c>
      <c r="X2" s="158" t="s">
        <v>371</v>
      </c>
      <c r="Y2" s="114" t="s">
        <v>69</v>
      </c>
      <c r="Z2" s="158" t="s">
        <v>70</v>
      </c>
      <c r="AA2" s="117" t="s">
        <v>66</v>
      </c>
      <c r="AB2" s="158" t="s">
        <v>67</v>
      </c>
      <c r="AC2" s="310" t="s">
        <v>68</v>
      </c>
      <c r="AD2" s="116" t="s">
        <v>66</v>
      </c>
      <c r="AE2" s="117" t="s">
        <v>68</v>
      </c>
      <c r="AF2" s="117" t="s">
        <v>319</v>
      </c>
      <c r="AG2" s="158" t="s">
        <v>371</v>
      </c>
      <c r="AH2" s="236" t="s">
        <v>220</v>
      </c>
      <c r="AI2" s="313" t="s">
        <v>221</v>
      </c>
      <c r="AJ2" s="238" t="s">
        <v>222</v>
      </c>
      <c r="AK2" s="313" t="s">
        <v>223</v>
      </c>
      <c r="AL2" s="237" t="s">
        <v>224</v>
      </c>
      <c r="AM2" s="313" t="s">
        <v>433</v>
      </c>
      <c r="AN2" s="313" t="s">
        <v>434</v>
      </c>
      <c r="AO2" s="236" t="s">
        <v>220</v>
      </c>
      <c r="AP2" s="313" t="s">
        <v>221</v>
      </c>
      <c r="AQ2" s="238" t="s">
        <v>222</v>
      </c>
      <c r="AR2" s="313" t="s">
        <v>223</v>
      </c>
      <c r="AS2" s="237" t="s">
        <v>224</v>
      </c>
      <c r="AT2" s="313" t="s">
        <v>433</v>
      </c>
      <c r="AU2" s="313" t="s">
        <v>434</v>
      </c>
      <c r="AV2" s="236" t="s">
        <v>220</v>
      </c>
      <c r="AW2" s="313" t="s">
        <v>221</v>
      </c>
      <c r="AX2" s="238" t="s">
        <v>222</v>
      </c>
      <c r="AY2" s="313" t="s">
        <v>223</v>
      </c>
      <c r="AZ2" s="237" t="s">
        <v>225</v>
      </c>
      <c r="BA2" s="313" t="s">
        <v>433</v>
      </c>
      <c r="BB2" s="313" t="s">
        <v>434</v>
      </c>
      <c r="BC2" s="118" t="s">
        <v>220</v>
      </c>
      <c r="BD2" s="119" t="s">
        <v>221</v>
      </c>
      <c r="BE2" s="119" t="s">
        <v>222</v>
      </c>
      <c r="BF2" s="119" t="s">
        <v>223</v>
      </c>
      <c r="BG2" s="120" t="s">
        <v>225</v>
      </c>
      <c r="BH2" s="313" t="s">
        <v>433</v>
      </c>
      <c r="BI2" s="313" t="s">
        <v>434</v>
      </c>
      <c r="BJ2" s="236" t="s">
        <v>220</v>
      </c>
      <c r="BK2" s="313" t="s">
        <v>221</v>
      </c>
      <c r="BL2" s="238" t="s">
        <v>222</v>
      </c>
      <c r="BM2" s="313" t="s">
        <v>223</v>
      </c>
      <c r="BN2" s="237" t="s">
        <v>225</v>
      </c>
      <c r="BO2" s="313" t="s">
        <v>433</v>
      </c>
      <c r="BP2" s="313" t="s">
        <v>434</v>
      </c>
      <c r="BQ2" s="114" t="s">
        <v>227</v>
      </c>
      <c r="BR2" s="158" t="s">
        <v>228</v>
      </c>
      <c r="BS2" s="310" t="s">
        <v>229</v>
      </c>
      <c r="BT2" s="158" t="s">
        <v>362</v>
      </c>
      <c r="BU2" s="158" t="s">
        <v>375</v>
      </c>
      <c r="BV2" s="369"/>
      <c r="BW2" s="369"/>
    </row>
    <row r="3" spans="1:75" ht="15" customHeight="1" x14ac:dyDescent="0.25">
      <c r="A3" s="13">
        <v>4</v>
      </c>
      <c r="B3" s="59" t="s">
        <v>116</v>
      </c>
      <c r="C3" s="60">
        <v>0</v>
      </c>
      <c r="D3" s="61">
        <v>0</v>
      </c>
      <c r="E3" s="61">
        <v>0</v>
      </c>
      <c r="F3" s="145">
        <v>0</v>
      </c>
      <c r="G3" s="62">
        <v>0</v>
      </c>
      <c r="H3" s="60">
        <v>0</v>
      </c>
      <c r="I3" s="61">
        <v>70</v>
      </c>
      <c r="J3" s="61">
        <v>70</v>
      </c>
      <c r="K3" s="145">
        <v>69</v>
      </c>
      <c r="L3" s="62">
        <v>69</v>
      </c>
      <c r="M3" s="60">
        <v>0</v>
      </c>
      <c r="N3" s="61">
        <v>0</v>
      </c>
      <c r="O3" s="61">
        <v>16</v>
      </c>
      <c r="P3" s="145">
        <v>14</v>
      </c>
      <c r="Q3" s="62">
        <v>12</v>
      </c>
      <c r="R3" s="60"/>
      <c r="S3" s="61"/>
      <c r="T3" s="61"/>
      <c r="U3" s="61">
        <v>0</v>
      </c>
      <c r="V3" s="61">
        <v>0</v>
      </c>
      <c r="W3" s="145">
        <v>0</v>
      </c>
      <c r="X3" s="62">
        <v>0</v>
      </c>
      <c r="Y3" s="60"/>
      <c r="Z3" s="61"/>
      <c r="AA3" s="63">
        <v>29</v>
      </c>
      <c r="AB3" s="152">
        <v>29</v>
      </c>
      <c r="AC3" s="63">
        <v>29</v>
      </c>
      <c r="AD3" s="91"/>
      <c r="AE3" s="61"/>
      <c r="AF3" s="152">
        <v>29</v>
      </c>
      <c r="AG3" s="152">
        <v>29</v>
      </c>
      <c r="AH3" s="270"/>
      <c r="AI3" s="65"/>
      <c r="AJ3" s="65"/>
      <c r="AK3" s="65"/>
      <c r="AL3" s="65">
        <v>18977</v>
      </c>
      <c r="AM3" s="196">
        <v>20438</v>
      </c>
      <c r="AN3" s="66">
        <v>18149</v>
      </c>
      <c r="AO3" s="270"/>
      <c r="AP3" s="65"/>
      <c r="AQ3" s="65"/>
      <c r="AR3" s="65"/>
      <c r="AS3" s="65">
        <v>1868</v>
      </c>
      <c r="AT3" s="196">
        <v>2987</v>
      </c>
      <c r="AU3" s="66">
        <v>4410</v>
      </c>
      <c r="AV3" s="276"/>
      <c r="AW3" s="67"/>
      <c r="AX3" s="67"/>
      <c r="AY3" s="67"/>
      <c r="AZ3" s="67">
        <f>AS3/AL3</f>
        <v>9.8434947568108763E-2</v>
      </c>
      <c r="BA3" s="190">
        <f t="shared" ref="BA3:BB3" si="0">AT3/AM3</f>
        <v>0.14614932968000782</v>
      </c>
      <c r="BB3" s="68">
        <f t="shared" si="0"/>
        <v>0.24298859441291532</v>
      </c>
      <c r="BC3" s="276" t="s">
        <v>226</v>
      </c>
      <c r="BD3" s="69"/>
      <c r="BE3" s="69"/>
      <c r="BF3" s="69"/>
      <c r="BG3" s="69"/>
      <c r="BH3" s="199"/>
      <c r="BI3" s="70"/>
      <c r="BJ3" s="60" t="s">
        <v>226</v>
      </c>
      <c r="BK3" s="71"/>
      <c r="BL3" s="71"/>
      <c r="BM3" s="71"/>
      <c r="BN3" s="71"/>
      <c r="BO3" s="200">
        <f t="shared" ref="BO3" si="1">(BA3-AZ3)*100</f>
        <v>4.7714382111899063</v>
      </c>
      <c r="BP3" s="72">
        <f t="shared" ref="BP3:BP19" si="2">(BB3-BA3)*100</f>
        <v>9.6839264732907502</v>
      </c>
      <c r="BQ3" s="276"/>
      <c r="BR3" s="67"/>
      <c r="BS3" s="67">
        <f>V3/O3</f>
        <v>0</v>
      </c>
      <c r="BT3" s="190">
        <f t="shared" ref="BT3:BU3" si="3">W3/P3</f>
        <v>0</v>
      </c>
      <c r="BU3" s="68">
        <f t="shared" si="3"/>
        <v>0</v>
      </c>
      <c r="BV3" s="175">
        <f t="shared" ref="BV3" si="4">(AG3-AF3)/AF3</f>
        <v>0</v>
      </c>
      <c r="BW3" s="414">
        <f t="shared" ref="BW3" si="5">(Q3-P3)/P3</f>
        <v>-0.14285714285714285</v>
      </c>
    </row>
    <row r="4" spans="1:75" x14ac:dyDescent="0.25">
      <c r="A4" s="13">
        <v>4</v>
      </c>
      <c r="B4" s="59" t="s">
        <v>322</v>
      </c>
      <c r="C4" s="60"/>
      <c r="D4" s="61"/>
      <c r="E4" s="61"/>
      <c r="F4" s="145">
        <v>4</v>
      </c>
      <c r="G4" s="62">
        <v>4</v>
      </c>
      <c r="H4" s="60"/>
      <c r="I4" s="61"/>
      <c r="J4" s="61"/>
      <c r="K4" s="145">
        <v>45</v>
      </c>
      <c r="L4" s="62">
        <v>44</v>
      </c>
      <c r="M4" s="60"/>
      <c r="N4" s="61"/>
      <c r="O4" s="61"/>
      <c r="P4" s="145">
        <v>17</v>
      </c>
      <c r="Q4" s="62">
        <v>18</v>
      </c>
      <c r="R4" s="60"/>
      <c r="S4" s="61"/>
      <c r="T4" s="61"/>
      <c r="U4" s="61"/>
      <c r="V4" s="61"/>
      <c r="W4" s="145">
        <v>1</v>
      </c>
      <c r="X4" s="62">
        <v>0</v>
      </c>
      <c r="Y4" s="60"/>
      <c r="Z4" s="61"/>
      <c r="AA4" s="63"/>
      <c r="AB4" s="152"/>
      <c r="AC4" s="63"/>
      <c r="AD4" s="91"/>
      <c r="AE4" s="61"/>
      <c r="AF4" s="152" t="s">
        <v>431</v>
      </c>
      <c r="AG4" s="64" t="s">
        <v>91</v>
      </c>
      <c r="AH4" s="270"/>
      <c r="AI4" s="65"/>
      <c r="AJ4" s="65"/>
      <c r="AK4" s="65"/>
      <c r="AL4" s="65"/>
      <c r="AM4" s="196">
        <v>5473</v>
      </c>
      <c r="AN4" s="66">
        <v>7313.38</v>
      </c>
      <c r="AO4" s="270"/>
      <c r="AP4" s="65"/>
      <c r="AQ4" s="65"/>
      <c r="AR4" s="65"/>
      <c r="AS4" s="65"/>
      <c r="AT4" s="196">
        <v>1692</v>
      </c>
      <c r="AU4" s="66">
        <v>2195</v>
      </c>
      <c r="AV4" s="276"/>
      <c r="AW4" s="67"/>
      <c r="AX4" s="67"/>
      <c r="AY4" s="67"/>
      <c r="AZ4" s="67"/>
      <c r="BA4" s="190">
        <f t="shared" ref="BA4" si="6">AT4/AM4</f>
        <v>0.30915402886899324</v>
      </c>
      <c r="BB4" s="68">
        <f t="shared" ref="BB4:BB66" si="7">AU4/AN4</f>
        <v>0.30013482138217895</v>
      </c>
      <c r="BC4" s="276"/>
      <c r="BD4" s="69"/>
      <c r="BE4" s="69"/>
      <c r="BF4" s="69"/>
      <c r="BG4" s="69"/>
      <c r="BH4" s="199"/>
      <c r="BI4" s="70"/>
      <c r="BJ4" s="60"/>
      <c r="BK4" s="71"/>
      <c r="BL4" s="71"/>
      <c r="BM4" s="71"/>
      <c r="BN4" s="71"/>
      <c r="BO4" s="200"/>
      <c r="BP4" s="72">
        <f t="shared" si="2"/>
        <v>-0.90192074868142846</v>
      </c>
      <c r="BQ4" s="276"/>
      <c r="BR4" s="67"/>
      <c r="BS4" s="67"/>
      <c r="BT4" s="190">
        <f t="shared" ref="BT4:BU4" si="8">W4/P4</f>
        <v>5.8823529411764705E-2</v>
      </c>
      <c r="BU4" s="68">
        <f t="shared" si="8"/>
        <v>0</v>
      </c>
      <c r="BV4" s="175"/>
      <c r="BW4" s="73">
        <f t="shared" ref="BW4" si="9">(Q4-P4)/P4</f>
        <v>5.8823529411764705E-2</v>
      </c>
    </row>
    <row r="5" spans="1:75" x14ac:dyDescent="0.25">
      <c r="A5" s="13">
        <v>4</v>
      </c>
      <c r="B5" s="59" t="s">
        <v>323</v>
      </c>
      <c r="C5" s="60"/>
      <c r="D5" s="61"/>
      <c r="E5" s="61"/>
      <c r="F5" s="145">
        <v>1</v>
      </c>
      <c r="G5" s="62">
        <v>1</v>
      </c>
      <c r="H5" s="60"/>
      <c r="I5" s="61"/>
      <c r="J5" s="61"/>
      <c r="K5" s="145">
        <v>16</v>
      </c>
      <c r="L5" s="62">
        <v>0</v>
      </c>
      <c r="M5" s="60"/>
      <c r="N5" s="61"/>
      <c r="O5" s="61"/>
      <c r="P5" s="145">
        <v>8</v>
      </c>
      <c r="Q5" s="62">
        <v>11</v>
      </c>
      <c r="R5" s="60"/>
      <c r="S5" s="61"/>
      <c r="T5" s="61"/>
      <c r="U5" s="61"/>
      <c r="V5" s="61"/>
      <c r="W5" s="145">
        <v>0</v>
      </c>
      <c r="X5" s="62">
        <v>0</v>
      </c>
      <c r="Y5" s="60"/>
      <c r="Z5" s="61"/>
      <c r="AA5" s="63"/>
      <c r="AB5" s="152"/>
      <c r="AC5" s="63"/>
      <c r="AD5" s="91"/>
      <c r="AE5" s="61"/>
      <c r="AF5" s="152">
        <v>26.34</v>
      </c>
      <c r="AG5" s="64">
        <v>38.29</v>
      </c>
      <c r="AH5" s="270"/>
      <c r="AI5" s="65"/>
      <c r="AJ5" s="65"/>
      <c r="AK5" s="65"/>
      <c r="AL5" s="65"/>
      <c r="AM5" s="196">
        <v>3225.6</v>
      </c>
      <c r="AN5" s="66">
        <v>3284.48</v>
      </c>
      <c r="AO5" s="270"/>
      <c r="AP5" s="65"/>
      <c r="AQ5" s="65"/>
      <c r="AR5" s="65"/>
      <c r="AS5" s="65"/>
      <c r="AT5" s="196">
        <v>732.3</v>
      </c>
      <c r="AU5" s="66">
        <v>909.54</v>
      </c>
      <c r="AV5" s="276"/>
      <c r="AW5" s="67"/>
      <c r="AX5" s="67"/>
      <c r="AY5" s="67"/>
      <c r="AZ5" s="67"/>
      <c r="BA5" s="190">
        <f t="shared" ref="BA5" si="10">AT5/AM5</f>
        <v>0.22702752976190477</v>
      </c>
      <c r="BB5" s="68">
        <f t="shared" si="7"/>
        <v>0.27692054754481682</v>
      </c>
      <c r="BC5" s="276"/>
      <c r="BD5" s="69"/>
      <c r="BE5" s="69"/>
      <c r="BF5" s="69"/>
      <c r="BG5" s="69"/>
      <c r="BH5" s="199"/>
      <c r="BI5" s="70"/>
      <c r="BJ5" s="60"/>
      <c r="BK5" s="71"/>
      <c r="BL5" s="71"/>
      <c r="BM5" s="71"/>
      <c r="BN5" s="71"/>
      <c r="BO5" s="200"/>
      <c r="BP5" s="72">
        <f t="shared" si="2"/>
        <v>4.989301778291205</v>
      </c>
      <c r="BQ5" s="276"/>
      <c r="BR5" s="67"/>
      <c r="BS5" s="67"/>
      <c r="BT5" s="190">
        <f t="shared" ref="BT5" si="11">W5/P5</f>
        <v>0</v>
      </c>
      <c r="BU5" s="68">
        <f t="shared" ref="BU5:BU66" si="12">X5/Q5</f>
        <v>0</v>
      </c>
      <c r="BV5" s="175">
        <f t="shared" ref="BV5:BV66" si="13">(AG5-AF5)/AF5</f>
        <v>0.45368261199696275</v>
      </c>
      <c r="BW5" s="73">
        <f t="shared" ref="BW5:BW66" si="14">(Q5-P5)/P5</f>
        <v>0.375</v>
      </c>
    </row>
    <row r="6" spans="1:75" x14ac:dyDescent="0.25">
      <c r="A6" s="13">
        <v>5</v>
      </c>
      <c r="B6" s="59" t="s">
        <v>415</v>
      </c>
      <c r="C6" s="60"/>
      <c r="D6" s="61"/>
      <c r="E6" s="61"/>
      <c r="F6" s="145"/>
      <c r="G6" s="62">
        <v>0</v>
      </c>
      <c r="H6" s="60"/>
      <c r="I6" s="61"/>
      <c r="J6" s="61"/>
      <c r="K6" s="145"/>
      <c r="L6" s="62">
        <v>84</v>
      </c>
      <c r="M6" s="60"/>
      <c r="N6" s="61"/>
      <c r="O6" s="61"/>
      <c r="P6" s="145"/>
      <c r="Q6" s="62">
        <v>22</v>
      </c>
      <c r="R6" s="60"/>
      <c r="S6" s="61"/>
      <c r="T6" s="61"/>
      <c r="U6" s="61"/>
      <c r="V6" s="61"/>
      <c r="W6" s="145"/>
      <c r="X6" s="62">
        <v>0</v>
      </c>
      <c r="Y6" s="60"/>
      <c r="Z6" s="61"/>
      <c r="AA6" s="61"/>
      <c r="AB6" s="145"/>
      <c r="AC6" s="61"/>
      <c r="AD6" s="91"/>
      <c r="AE6" s="61"/>
      <c r="AF6" s="152"/>
      <c r="AG6" s="64">
        <v>37.630000000000003</v>
      </c>
      <c r="AH6" s="270"/>
      <c r="AI6" s="65"/>
      <c r="AJ6" s="65"/>
      <c r="AK6" s="65"/>
      <c r="AL6" s="65"/>
      <c r="AM6" s="196"/>
      <c r="AN6" s="66">
        <v>31078</v>
      </c>
      <c r="AO6" s="270"/>
      <c r="AP6" s="65"/>
      <c r="AQ6" s="65"/>
      <c r="AR6" s="65"/>
      <c r="AS6" s="65"/>
      <c r="AT6" s="196"/>
      <c r="AU6" s="66">
        <v>9371</v>
      </c>
      <c r="AV6" s="276"/>
      <c r="AW6" s="67"/>
      <c r="AX6" s="67"/>
      <c r="AY6" s="67"/>
      <c r="AZ6" s="67"/>
      <c r="BA6" s="190"/>
      <c r="BB6" s="68">
        <f t="shared" si="7"/>
        <v>0.30153163009202649</v>
      </c>
      <c r="BC6" s="276" t="s">
        <v>226</v>
      </c>
      <c r="BD6" s="69"/>
      <c r="BE6" s="69"/>
      <c r="BF6" s="69"/>
      <c r="BG6" s="69"/>
      <c r="BH6" s="199"/>
      <c r="BI6" s="70"/>
      <c r="BJ6" s="60" t="s">
        <v>226</v>
      </c>
      <c r="BK6" s="71"/>
      <c r="BL6" s="71"/>
      <c r="BM6" s="71"/>
      <c r="BN6" s="71"/>
      <c r="BO6" s="200"/>
      <c r="BP6" s="72"/>
      <c r="BQ6" s="276"/>
      <c r="BR6" s="67"/>
      <c r="BS6" s="67"/>
      <c r="BT6" s="190"/>
      <c r="BU6" s="68">
        <f t="shared" si="12"/>
        <v>0</v>
      </c>
      <c r="BV6" s="175"/>
      <c r="BW6" s="73"/>
    </row>
    <row r="7" spans="1:75" x14ac:dyDescent="0.25">
      <c r="A7" s="13">
        <v>5</v>
      </c>
      <c r="B7" s="59" t="s">
        <v>416</v>
      </c>
      <c r="C7" s="60"/>
      <c r="D7" s="61"/>
      <c r="E7" s="61"/>
      <c r="F7" s="145"/>
      <c r="G7" s="62">
        <v>0</v>
      </c>
      <c r="H7" s="60"/>
      <c r="I7" s="61"/>
      <c r="J7" s="61"/>
      <c r="K7" s="145"/>
      <c r="L7" s="62">
        <v>65</v>
      </c>
      <c r="M7" s="60"/>
      <c r="N7" s="61"/>
      <c r="O7" s="61"/>
      <c r="P7" s="145"/>
      <c r="Q7" s="62">
        <v>5</v>
      </c>
      <c r="R7" s="60"/>
      <c r="S7" s="61"/>
      <c r="T7" s="61"/>
      <c r="U7" s="61"/>
      <c r="V7" s="61"/>
      <c r="W7" s="145"/>
      <c r="X7" s="62">
        <v>0</v>
      </c>
      <c r="Y7" s="60"/>
      <c r="Z7" s="61"/>
      <c r="AA7" s="61"/>
      <c r="AB7" s="145"/>
      <c r="AC7" s="61"/>
      <c r="AD7" s="91"/>
      <c r="AE7" s="61"/>
      <c r="AF7" s="152"/>
      <c r="AG7" s="64" t="s">
        <v>151</v>
      </c>
      <c r="AH7" s="270"/>
      <c r="AI7" s="65"/>
      <c r="AJ7" s="65"/>
      <c r="AK7" s="65"/>
      <c r="AL7" s="65"/>
      <c r="AM7" s="196"/>
      <c r="AN7" s="66">
        <v>15853.09</v>
      </c>
      <c r="AO7" s="270"/>
      <c r="AP7" s="65"/>
      <c r="AQ7" s="65"/>
      <c r="AR7" s="65"/>
      <c r="AS7" s="65"/>
      <c r="AT7" s="196"/>
      <c r="AU7" s="66">
        <v>446.25</v>
      </c>
      <c r="AV7" s="276"/>
      <c r="AW7" s="67"/>
      <c r="AX7" s="67"/>
      <c r="AY7" s="67"/>
      <c r="AZ7" s="67"/>
      <c r="BA7" s="190"/>
      <c r="BB7" s="68">
        <f t="shared" si="7"/>
        <v>2.8149086392621248E-2</v>
      </c>
      <c r="BC7" s="276"/>
      <c r="BD7" s="69"/>
      <c r="BE7" s="69"/>
      <c r="BF7" s="69"/>
      <c r="BG7" s="69"/>
      <c r="BH7" s="199"/>
      <c r="BI7" s="70"/>
      <c r="BJ7" s="60"/>
      <c r="BK7" s="71"/>
      <c r="BL7" s="71"/>
      <c r="BM7" s="71"/>
      <c r="BN7" s="71"/>
      <c r="BO7" s="200"/>
      <c r="BP7" s="72"/>
      <c r="BQ7" s="276"/>
      <c r="BR7" s="67"/>
      <c r="BS7" s="67"/>
      <c r="BT7" s="190"/>
      <c r="BU7" s="68">
        <f t="shared" si="12"/>
        <v>0</v>
      </c>
      <c r="BV7" s="175"/>
      <c r="BW7" s="73"/>
    </row>
    <row r="8" spans="1:75" x14ac:dyDescent="0.25">
      <c r="A8" s="13">
        <v>6</v>
      </c>
      <c r="B8" s="59" t="s">
        <v>4</v>
      </c>
      <c r="C8" s="60">
        <v>0</v>
      </c>
      <c r="D8" s="61">
        <v>0</v>
      </c>
      <c r="E8" s="61">
        <v>0</v>
      </c>
      <c r="F8" s="145">
        <v>0</v>
      </c>
      <c r="G8" s="62"/>
      <c r="H8" s="60">
        <v>114</v>
      </c>
      <c r="I8" s="61">
        <v>114</v>
      </c>
      <c r="J8" s="61">
        <v>114</v>
      </c>
      <c r="K8" s="145">
        <v>114</v>
      </c>
      <c r="L8" s="62"/>
      <c r="M8" s="60">
        <v>20</v>
      </c>
      <c r="N8" s="61">
        <v>28</v>
      </c>
      <c r="O8" s="61">
        <v>31</v>
      </c>
      <c r="P8" s="145">
        <v>15</v>
      </c>
      <c r="Q8" s="62"/>
      <c r="R8" s="60">
        <v>0</v>
      </c>
      <c r="S8" s="61">
        <v>0</v>
      </c>
      <c r="T8" s="61">
        <v>0</v>
      </c>
      <c r="U8" s="61">
        <v>0</v>
      </c>
      <c r="V8" s="61">
        <v>0</v>
      </c>
      <c r="W8" s="145">
        <v>4</v>
      </c>
      <c r="X8" s="62"/>
      <c r="Y8" s="60">
        <v>20.32</v>
      </c>
      <c r="Z8" s="61">
        <v>20.32</v>
      </c>
      <c r="AA8" s="61">
        <v>25.37</v>
      </c>
      <c r="AB8" s="145">
        <v>33.049999999999997</v>
      </c>
      <c r="AC8" s="61">
        <v>33.049999999999997</v>
      </c>
      <c r="AD8" s="91"/>
      <c r="AE8" s="61"/>
      <c r="AF8" s="63">
        <v>33.049999999999997</v>
      </c>
      <c r="AG8" s="64"/>
      <c r="AH8" s="270">
        <v>15904</v>
      </c>
      <c r="AI8" s="65">
        <v>20573</v>
      </c>
      <c r="AJ8" s="65">
        <v>25655</v>
      </c>
      <c r="AK8" s="65">
        <v>36194</v>
      </c>
      <c r="AL8" s="65">
        <v>40706</v>
      </c>
      <c r="AM8" s="196">
        <v>36413</v>
      </c>
      <c r="AN8" s="66"/>
      <c r="AO8" s="270">
        <v>2577</v>
      </c>
      <c r="AP8" s="65">
        <v>3189</v>
      </c>
      <c r="AQ8" s="65">
        <v>4514</v>
      </c>
      <c r="AR8" s="65">
        <v>5260</v>
      </c>
      <c r="AS8" s="65">
        <v>7432</v>
      </c>
      <c r="AT8" s="196">
        <v>4297.17</v>
      </c>
      <c r="AU8" s="66"/>
      <c r="AV8" s="276">
        <f t="shared" ref="AV8:BA10" si="15">AO8/AH8</f>
        <v>0.16203470824949698</v>
      </c>
      <c r="AW8" s="67">
        <f t="shared" si="15"/>
        <v>0.15500899236863849</v>
      </c>
      <c r="AX8" s="67">
        <f t="shared" si="15"/>
        <v>0.17595010719158058</v>
      </c>
      <c r="AY8" s="67">
        <f t="shared" si="15"/>
        <v>0.14532795490965353</v>
      </c>
      <c r="AZ8" s="67">
        <f t="shared" si="15"/>
        <v>0.18257750700142486</v>
      </c>
      <c r="BA8" s="190">
        <v>0.25519999999999998</v>
      </c>
      <c r="BB8" s="190"/>
      <c r="BC8" s="276" t="s">
        <v>226</v>
      </c>
      <c r="BD8" s="69">
        <f t="shared" ref="BD8:BH8" si="16">(AW8-$AV8)*100</f>
        <v>-0.70257158808584852</v>
      </c>
      <c r="BE8" s="69">
        <f t="shared" si="16"/>
        <v>1.3915398942083601</v>
      </c>
      <c r="BF8" s="69">
        <f t="shared" si="16"/>
        <v>-1.670675333984345</v>
      </c>
      <c r="BG8" s="69">
        <f t="shared" si="16"/>
        <v>2.0542798751927882</v>
      </c>
      <c r="BH8" s="199">
        <f t="shared" si="16"/>
        <v>9.3165291750503005</v>
      </c>
      <c r="BI8" s="70"/>
      <c r="BJ8" s="60" t="s">
        <v>226</v>
      </c>
      <c r="BK8" s="71">
        <f>(AW8-AV8)*100</f>
        <v>-0.70257158808584852</v>
      </c>
      <c r="BL8" s="71">
        <f>(AX8-AW8)*100</f>
        <v>2.0941114822942088</v>
      </c>
      <c r="BM8" s="71">
        <f>(AY8-AX8)*100</f>
        <v>-3.0622152281927049</v>
      </c>
      <c r="BN8" s="71">
        <f>(AZ8-AY8)*100</f>
        <v>3.724955209177133</v>
      </c>
      <c r="BO8" s="200">
        <f>(BA8-AZ8)*100</f>
        <v>7.2622492998575119</v>
      </c>
      <c r="BP8" s="200"/>
      <c r="BQ8" s="276">
        <f>T8/M8</f>
        <v>0</v>
      </c>
      <c r="BR8" s="67">
        <f>U8/N8</f>
        <v>0</v>
      </c>
      <c r="BS8" s="67">
        <f>V8/O8</f>
        <v>0</v>
      </c>
      <c r="BT8" s="67">
        <f>W8/P8</f>
        <v>0.26666666666666666</v>
      </c>
      <c r="BU8" s="68"/>
      <c r="BV8" s="175"/>
      <c r="BW8" s="73"/>
    </row>
    <row r="9" spans="1:75" x14ac:dyDescent="0.25">
      <c r="A9" s="13">
        <v>7</v>
      </c>
      <c r="B9" s="59" t="s">
        <v>5</v>
      </c>
      <c r="C9" s="60">
        <v>82</v>
      </c>
      <c r="D9" s="61">
        <v>82</v>
      </c>
      <c r="E9" s="61">
        <v>82</v>
      </c>
      <c r="F9" s="145"/>
      <c r="G9" s="62"/>
      <c r="H9" s="60">
        <v>20</v>
      </c>
      <c r="I9" s="61">
        <v>24</v>
      </c>
      <c r="J9" s="61">
        <v>30</v>
      </c>
      <c r="K9" s="145"/>
      <c r="L9" s="62"/>
      <c r="M9" s="60"/>
      <c r="N9" s="61"/>
      <c r="O9" s="61"/>
      <c r="P9" s="145"/>
      <c r="Q9" s="62"/>
      <c r="R9" s="60"/>
      <c r="S9" s="61"/>
      <c r="T9" s="61"/>
      <c r="U9" s="61"/>
      <c r="V9" s="61"/>
      <c r="W9" s="145"/>
      <c r="X9" s="62"/>
      <c r="Y9" s="60">
        <v>24.7</v>
      </c>
      <c r="Z9" s="61">
        <v>24.7</v>
      </c>
      <c r="AA9" s="61">
        <v>83.66</v>
      </c>
      <c r="AB9" s="145">
        <v>83.66</v>
      </c>
      <c r="AC9" s="61">
        <v>83.66</v>
      </c>
      <c r="AD9" s="91"/>
      <c r="AE9" s="61"/>
      <c r="AF9" s="63"/>
      <c r="AG9" s="64"/>
      <c r="AH9" s="270">
        <v>13416</v>
      </c>
      <c r="AI9" s="65">
        <v>12959</v>
      </c>
      <c r="AJ9" s="65">
        <v>13203</v>
      </c>
      <c r="AK9" s="65">
        <v>17597</v>
      </c>
      <c r="AL9" s="65">
        <v>22047</v>
      </c>
      <c r="AM9" s="196"/>
      <c r="AN9" s="66"/>
      <c r="AO9" s="270">
        <v>10139</v>
      </c>
      <c r="AP9" s="65">
        <v>12035</v>
      </c>
      <c r="AQ9" s="65">
        <v>8619</v>
      </c>
      <c r="AR9" s="65">
        <v>11932</v>
      </c>
      <c r="AS9" s="65">
        <v>12117</v>
      </c>
      <c r="AT9" s="196"/>
      <c r="AU9" s="66"/>
      <c r="AV9" s="276">
        <f t="shared" si="15"/>
        <v>0.75573941562313651</v>
      </c>
      <c r="AW9" s="67">
        <f t="shared" si="15"/>
        <v>0.9286982020217609</v>
      </c>
      <c r="AX9" s="67">
        <f t="shared" si="15"/>
        <v>0.65280618041354233</v>
      </c>
      <c r="AY9" s="67">
        <f t="shared" si="15"/>
        <v>0.67807012558958912</v>
      </c>
      <c r="AZ9" s="67">
        <f t="shared" si="15"/>
        <v>0.54959858484147506</v>
      </c>
      <c r="BA9" s="190"/>
      <c r="BB9" s="190"/>
      <c r="BC9" s="276" t="s">
        <v>226</v>
      </c>
      <c r="BD9" s="69">
        <f t="shared" ref="BD9:BG9" si="17">(AW9-$AV9)*100</f>
        <v>17.295878639862437</v>
      </c>
      <c r="BE9" s="69">
        <f t="shared" si="17"/>
        <v>-10.293323520959419</v>
      </c>
      <c r="BF9" s="69">
        <f t="shared" si="17"/>
        <v>-7.7669290033547389</v>
      </c>
      <c r="BG9" s="69">
        <f t="shared" si="17"/>
        <v>-20.614083078166146</v>
      </c>
      <c r="BH9" s="199"/>
      <c r="BI9" s="70"/>
      <c r="BJ9" s="60" t="s">
        <v>226</v>
      </c>
      <c r="BK9" s="71">
        <f t="shared" ref="BK9:BN9" si="18">(AW9-AV9)*100</f>
        <v>17.295878639862437</v>
      </c>
      <c r="BL9" s="71">
        <f t="shared" si="18"/>
        <v>-27.589202160821856</v>
      </c>
      <c r="BM9" s="71">
        <f t="shared" si="18"/>
        <v>2.5263945176046798</v>
      </c>
      <c r="BN9" s="71">
        <f t="shared" si="18"/>
        <v>-12.847154074811407</v>
      </c>
      <c r="BO9" s="200"/>
      <c r="BP9" s="200"/>
      <c r="BQ9" s="276"/>
      <c r="BR9" s="67"/>
      <c r="BS9" s="67"/>
      <c r="BT9" s="67"/>
      <c r="BU9" s="68"/>
      <c r="BV9" s="175"/>
      <c r="BW9" s="73"/>
    </row>
    <row r="10" spans="1:75" x14ac:dyDescent="0.25">
      <c r="A10" s="13">
        <v>10</v>
      </c>
      <c r="B10" s="59" t="s">
        <v>334</v>
      </c>
      <c r="C10" s="60"/>
      <c r="D10" s="61"/>
      <c r="E10" s="61"/>
      <c r="F10" s="145">
        <v>4</v>
      </c>
      <c r="G10" s="62">
        <v>4</v>
      </c>
      <c r="H10" s="60"/>
      <c r="I10" s="61"/>
      <c r="J10" s="61"/>
      <c r="K10" s="145">
        <v>73</v>
      </c>
      <c r="L10" s="62">
        <v>77</v>
      </c>
      <c r="M10" s="60"/>
      <c r="N10" s="61"/>
      <c r="O10" s="61"/>
      <c r="P10" s="145">
        <v>23</v>
      </c>
      <c r="Q10" s="62">
        <v>31</v>
      </c>
      <c r="R10" s="60"/>
      <c r="S10" s="61"/>
      <c r="T10" s="61"/>
      <c r="U10" s="61"/>
      <c r="V10" s="61"/>
      <c r="W10" s="145">
        <v>1</v>
      </c>
      <c r="X10" s="62">
        <v>0</v>
      </c>
      <c r="Y10" s="60"/>
      <c r="Z10" s="61"/>
      <c r="AA10" s="61"/>
      <c r="AB10" s="145"/>
      <c r="AC10" s="61"/>
      <c r="AD10" s="91"/>
      <c r="AE10" s="61"/>
      <c r="AF10" s="152" t="s">
        <v>335</v>
      </c>
      <c r="AG10" s="152" t="s">
        <v>207</v>
      </c>
      <c r="AH10" s="60"/>
      <c r="AI10" s="61"/>
      <c r="AJ10" s="61"/>
      <c r="AK10" s="61"/>
      <c r="AL10" s="61"/>
      <c r="AM10" s="145">
        <v>20556.36</v>
      </c>
      <c r="AN10" s="62">
        <v>20703.810000000001</v>
      </c>
      <c r="AO10" s="270"/>
      <c r="AP10" s="65"/>
      <c r="AQ10" s="65"/>
      <c r="AR10" s="65"/>
      <c r="AS10" s="65"/>
      <c r="AT10" s="196">
        <v>1462.05</v>
      </c>
      <c r="AU10" s="66">
        <v>961.33</v>
      </c>
      <c r="AV10" s="276"/>
      <c r="AW10" s="67"/>
      <c r="AX10" s="67"/>
      <c r="AY10" s="67"/>
      <c r="AZ10" s="67"/>
      <c r="BA10" s="190">
        <f t="shared" si="15"/>
        <v>7.1123973310449895E-2</v>
      </c>
      <c r="BB10" s="68">
        <f t="shared" si="7"/>
        <v>4.6432516527151281E-2</v>
      </c>
      <c r="BC10" s="276" t="s">
        <v>226</v>
      </c>
      <c r="BD10" s="69"/>
      <c r="BE10" s="69"/>
      <c r="BF10" s="69"/>
      <c r="BG10" s="69"/>
      <c r="BH10" s="199"/>
      <c r="BI10" s="70"/>
      <c r="BJ10" s="60" t="s">
        <v>226</v>
      </c>
      <c r="BK10" s="71"/>
      <c r="BL10" s="71"/>
      <c r="BM10" s="71"/>
      <c r="BN10" s="71"/>
      <c r="BO10" s="200"/>
      <c r="BP10" s="72">
        <f t="shared" ref="BP10" si="19">(BB10-BA10)*100</f>
        <v>-2.4691456783298613</v>
      </c>
      <c r="BQ10" s="276"/>
      <c r="BR10" s="67"/>
      <c r="BS10" s="67"/>
      <c r="BT10" s="190">
        <f t="shared" ref="BT10" si="20">W10/P10</f>
        <v>4.3478260869565216E-2</v>
      </c>
      <c r="BU10" s="68">
        <f t="shared" si="12"/>
        <v>0</v>
      </c>
      <c r="BV10" s="175"/>
      <c r="BW10" s="73">
        <f t="shared" si="14"/>
        <v>0.34782608695652173</v>
      </c>
    </row>
    <row r="11" spans="1:75" x14ac:dyDescent="0.25">
      <c r="A11" s="13">
        <v>11</v>
      </c>
      <c r="B11" s="59" t="s">
        <v>387</v>
      </c>
      <c r="C11" s="60"/>
      <c r="D11" s="61"/>
      <c r="E11" s="61"/>
      <c r="F11" s="145"/>
      <c r="G11" s="62">
        <v>9</v>
      </c>
      <c r="H11" s="60"/>
      <c r="I11" s="61"/>
      <c r="J11" s="61"/>
      <c r="K11" s="145"/>
      <c r="L11" s="62">
        <v>157</v>
      </c>
      <c r="M11" s="60"/>
      <c r="N11" s="61"/>
      <c r="O11" s="61"/>
      <c r="P11" s="145"/>
      <c r="Q11" s="62">
        <v>23</v>
      </c>
      <c r="R11" s="60"/>
      <c r="S11" s="61"/>
      <c r="T11" s="61"/>
      <c r="U11" s="61"/>
      <c r="V11" s="61"/>
      <c r="W11" s="145"/>
      <c r="X11" s="62">
        <v>2</v>
      </c>
      <c r="Y11" s="60"/>
      <c r="Z11" s="61"/>
      <c r="AA11" s="61"/>
      <c r="AB11" s="145"/>
      <c r="AC11" s="61"/>
      <c r="AD11" s="91"/>
      <c r="AE11" s="61"/>
      <c r="AF11" s="152"/>
      <c r="AG11" s="64">
        <v>34.299999999999997</v>
      </c>
      <c r="AH11" s="60"/>
      <c r="AI11" s="61"/>
      <c r="AJ11" s="61"/>
      <c r="AK11" s="61"/>
      <c r="AL11" s="61"/>
      <c r="AM11" s="145"/>
      <c r="AN11" s="62">
        <v>41687</v>
      </c>
      <c r="AO11" s="270"/>
      <c r="AP11" s="65"/>
      <c r="AQ11" s="65"/>
      <c r="AR11" s="65"/>
      <c r="AS11" s="65"/>
      <c r="AT11" s="196"/>
      <c r="AU11" s="66">
        <v>5437</v>
      </c>
      <c r="AV11" s="276"/>
      <c r="AW11" s="67"/>
      <c r="AX11" s="67"/>
      <c r="AY11" s="67"/>
      <c r="AZ11" s="67"/>
      <c r="BA11" s="190"/>
      <c r="BB11" s="68">
        <f t="shared" si="7"/>
        <v>0.13042435291577711</v>
      </c>
      <c r="BC11" s="276" t="s">
        <v>226</v>
      </c>
      <c r="BD11" s="69"/>
      <c r="BE11" s="69"/>
      <c r="BF11" s="69"/>
      <c r="BG11" s="69"/>
      <c r="BH11" s="199"/>
      <c r="BI11" s="70"/>
      <c r="BJ11" s="60" t="s">
        <v>226</v>
      </c>
      <c r="BK11" s="71"/>
      <c r="BL11" s="71"/>
      <c r="BM11" s="71"/>
      <c r="BN11" s="71"/>
      <c r="BO11" s="200"/>
      <c r="BP11" s="72"/>
      <c r="BQ11" s="276"/>
      <c r="BR11" s="67"/>
      <c r="BS11" s="67"/>
      <c r="BT11" s="190"/>
      <c r="BU11" s="68">
        <f t="shared" si="12"/>
        <v>8.6956521739130432E-2</v>
      </c>
      <c r="BV11" s="175"/>
      <c r="BW11" s="73"/>
    </row>
    <row r="12" spans="1:75" x14ac:dyDescent="0.25">
      <c r="A12" s="13">
        <v>11</v>
      </c>
      <c r="B12" s="59" t="s">
        <v>418</v>
      </c>
      <c r="C12" s="60"/>
      <c r="D12" s="61"/>
      <c r="E12" s="61"/>
      <c r="F12" s="145"/>
      <c r="G12" s="62">
        <v>4</v>
      </c>
      <c r="H12" s="60"/>
      <c r="I12" s="61"/>
      <c r="J12" s="61"/>
      <c r="K12" s="145"/>
      <c r="L12" s="62">
        <v>57</v>
      </c>
      <c r="M12" s="60"/>
      <c r="N12" s="61"/>
      <c r="O12" s="61"/>
      <c r="P12" s="145"/>
      <c r="Q12" s="62">
        <v>23</v>
      </c>
      <c r="R12" s="60"/>
      <c r="S12" s="61"/>
      <c r="T12" s="61"/>
      <c r="U12" s="61"/>
      <c r="V12" s="61"/>
      <c r="W12" s="145"/>
      <c r="X12" s="62">
        <v>8</v>
      </c>
      <c r="Y12" s="60"/>
      <c r="Z12" s="61"/>
      <c r="AA12" s="61"/>
      <c r="AB12" s="145"/>
      <c r="AC12" s="61"/>
      <c r="AD12" s="91"/>
      <c r="AE12" s="61"/>
      <c r="AF12" s="152"/>
      <c r="AG12" s="152" t="s">
        <v>419</v>
      </c>
      <c r="AH12" s="60"/>
      <c r="AI12" s="61"/>
      <c r="AJ12" s="61"/>
      <c r="AK12" s="61"/>
      <c r="AL12" s="61"/>
      <c r="AM12" s="145"/>
      <c r="AN12" s="62">
        <v>18273</v>
      </c>
      <c r="AO12" s="270"/>
      <c r="AP12" s="65"/>
      <c r="AQ12" s="65"/>
      <c r="AR12" s="65"/>
      <c r="AS12" s="65"/>
      <c r="AT12" s="196"/>
      <c r="AU12" s="66">
        <v>4853</v>
      </c>
      <c r="AV12" s="276"/>
      <c r="AW12" s="67"/>
      <c r="AX12" s="67"/>
      <c r="AY12" s="67"/>
      <c r="AZ12" s="67"/>
      <c r="BA12" s="190"/>
      <c r="BB12" s="68">
        <f t="shared" si="7"/>
        <v>0.26558310074974006</v>
      </c>
      <c r="BC12" s="276"/>
      <c r="BD12" s="69"/>
      <c r="BE12" s="69"/>
      <c r="BF12" s="69"/>
      <c r="BG12" s="69"/>
      <c r="BH12" s="199"/>
      <c r="BI12" s="70"/>
      <c r="BJ12" s="60"/>
      <c r="BK12" s="71"/>
      <c r="BL12" s="71"/>
      <c r="BM12" s="71"/>
      <c r="BN12" s="71"/>
      <c r="BO12" s="200"/>
      <c r="BP12" s="72"/>
      <c r="BQ12" s="276"/>
      <c r="BR12" s="67"/>
      <c r="BS12" s="67"/>
      <c r="BT12" s="190"/>
      <c r="BU12" s="68">
        <f t="shared" si="12"/>
        <v>0.34782608695652173</v>
      </c>
      <c r="BV12" s="175"/>
      <c r="BW12" s="73"/>
    </row>
    <row r="13" spans="1:75" x14ac:dyDescent="0.25">
      <c r="A13" s="13">
        <v>13</v>
      </c>
      <c r="B13" s="59" t="s">
        <v>9</v>
      </c>
      <c r="C13" s="60"/>
      <c r="D13" s="61"/>
      <c r="E13" s="61"/>
      <c r="F13" s="145">
        <v>3</v>
      </c>
      <c r="G13" s="62">
        <v>3</v>
      </c>
      <c r="H13" s="60"/>
      <c r="I13" s="61"/>
      <c r="J13" s="61"/>
      <c r="K13" s="145">
        <v>99</v>
      </c>
      <c r="L13" s="62">
        <v>99</v>
      </c>
      <c r="M13" s="60"/>
      <c r="N13" s="61"/>
      <c r="O13" s="61"/>
      <c r="P13" s="145">
        <v>7</v>
      </c>
      <c r="Q13" s="62">
        <v>8</v>
      </c>
      <c r="R13" s="60"/>
      <c r="S13" s="61"/>
      <c r="T13" s="61"/>
      <c r="U13" s="61"/>
      <c r="V13" s="61"/>
      <c r="W13" s="145">
        <v>0</v>
      </c>
      <c r="X13" s="62">
        <v>1</v>
      </c>
      <c r="Y13" s="60"/>
      <c r="Z13" s="61"/>
      <c r="AA13" s="61"/>
      <c r="AB13" s="145"/>
      <c r="AC13" s="61"/>
      <c r="AD13" s="91"/>
      <c r="AE13" s="61"/>
      <c r="AF13" s="152">
        <v>32</v>
      </c>
      <c r="AG13" s="152">
        <v>32</v>
      </c>
      <c r="AH13" s="270"/>
      <c r="AI13" s="65"/>
      <c r="AJ13" s="65"/>
      <c r="AK13" s="65"/>
      <c r="AL13" s="65"/>
      <c r="AM13" s="196">
        <v>28670</v>
      </c>
      <c r="AN13" s="66">
        <v>27758</v>
      </c>
      <c r="AO13" s="270"/>
      <c r="AP13" s="65"/>
      <c r="AQ13" s="65"/>
      <c r="AR13" s="65"/>
      <c r="AS13" s="65"/>
      <c r="AT13" s="196">
        <v>1036</v>
      </c>
      <c r="AU13" s="66">
        <v>772</v>
      </c>
      <c r="AV13" s="276"/>
      <c r="AW13" s="67"/>
      <c r="AX13" s="67"/>
      <c r="AY13" s="67"/>
      <c r="AZ13" s="67"/>
      <c r="BA13" s="190">
        <f t="shared" ref="BA13" si="21">AT13/AM13</f>
        <v>3.6135333100802233E-2</v>
      </c>
      <c r="BB13" s="68">
        <f t="shared" si="7"/>
        <v>2.7811802003026156E-2</v>
      </c>
      <c r="BC13" s="276" t="s">
        <v>226</v>
      </c>
      <c r="BD13" s="69"/>
      <c r="BE13" s="69"/>
      <c r="BF13" s="69"/>
      <c r="BG13" s="69"/>
      <c r="BH13" s="199"/>
      <c r="BI13" s="70"/>
      <c r="BJ13" s="60" t="s">
        <v>226</v>
      </c>
      <c r="BK13" s="71"/>
      <c r="BL13" s="71"/>
      <c r="BM13" s="71"/>
      <c r="BN13" s="71"/>
      <c r="BO13" s="200"/>
      <c r="BP13" s="72">
        <f t="shared" ref="BP13" si="22">(BB13-BA13)*100</f>
        <v>-0.83235310977760779</v>
      </c>
      <c r="BQ13" s="276"/>
      <c r="BR13" s="67"/>
      <c r="BS13" s="67"/>
      <c r="BT13" s="190">
        <f t="shared" ref="BT13" si="23">W13/P13</f>
        <v>0</v>
      </c>
      <c r="BU13" s="68">
        <f t="shared" si="12"/>
        <v>0.125</v>
      </c>
      <c r="BV13" s="175">
        <f t="shared" ref="BV13" si="24">(AG13-AF13)/AF13</f>
        <v>0</v>
      </c>
      <c r="BW13" s="73">
        <f t="shared" ref="BW13" si="25">(Q13-P13)/P13</f>
        <v>0.14285714285714285</v>
      </c>
    </row>
    <row r="14" spans="1:75" x14ac:dyDescent="0.25">
      <c r="A14" s="13">
        <v>16</v>
      </c>
      <c r="B14" s="59" t="s">
        <v>272</v>
      </c>
      <c r="C14" s="60">
        <v>4</v>
      </c>
      <c r="D14" s="61">
        <v>4</v>
      </c>
      <c r="E14" s="61">
        <v>0</v>
      </c>
      <c r="F14" s="145"/>
      <c r="G14" s="62">
        <v>0</v>
      </c>
      <c r="H14" s="60">
        <v>122</v>
      </c>
      <c r="I14" s="61">
        <v>122</v>
      </c>
      <c r="J14" s="61">
        <v>0</v>
      </c>
      <c r="K14" s="145"/>
      <c r="L14" s="62">
        <v>147</v>
      </c>
      <c r="M14" s="60">
        <v>24</v>
      </c>
      <c r="N14" s="61">
        <v>33</v>
      </c>
      <c r="O14" s="61">
        <v>12</v>
      </c>
      <c r="P14" s="145"/>
      <c r="Q14" s="62">
        <v>67</v>
      </c>
      <c r="R14" s="60">
        <v>1</v>
      </c>
      <c r="S14" s="61">
        <v>1</v>
      </c>
      <c r="T14" s="61">
        <v>3</v>
      </c>
      <c r="U14" s="61">
        <v>3</v>
      </c>
      <c r="V14" s="61">
        <v>3</v>
      </c>
      <c r="W14" s="145"/>
      <c r="X14" s="62">
        <v>1</v>
      </c>
      <c r="Y14" s="60" t="s">
        <v>91</v>
      </c>
      <c r="Z14" s="61" t="s">
        <v>94</v>
      </c>
      <c r="AA14" s="61" t="s">
        <v>95</v>
      </c>
      <c r="AB14" s="145" t="s">
        <v>95</v>
      </c>
      <c r="AC14" s="61" t="s">
        <v>95</v>
      </c>
      <c r="AD14" s="91">
        <v>0.75</v>
      </c>
      <c r="AE14" s="61">
        <v>0.75</v>
      </c>
      <c r="AF14" s="152"/>
      <c r="AG14" s="64">
        <v>27.97</v>
      </c>
      <c r="AH14" s="270">
        <v>16453</v>
      </c>
      <c r="AI14" s="65">
        <v>17990</v>
      </c>
      <c r="AJ14" s="65">
        <v>27444</v>
      </c>
      <c r="AK14" s="65">
        <v>27389</v>
      </c>
      <c r="AL14" s="65"/>
      <c r="AM14" s="196"/>
      <c r="AN14" s="66">
        <v>29133.62</v>
      </c>
      <c r="AO14" s="270">
        <v>941</v>
      </c>
      <c r="AP14" s="65">
        <v>2060</v>
      </c>
      <c r="AQ14" s="65">
        <v>1916</v>
      </c>
      <c r="AR14" s="65">
        <v>4117</v>
      </c>
      <c r="AS14" s="65"/>
      <c r="AT14" s="196"/>
      <c r="AU14" s="66">
        <v>11833.28</v>
      </c>
      <c r="AV14" s="276">
        <f t="shared" ref="AV14:AY14" si="26">AO14/AH14</f>
        <v>5.7193217042484652E-2</v>
      </c>
      <c r="AW14" s="67">
        <f t="shared" si="26"/>
        <v>0.11450806003335186</v>
      </c>
      <c r="AX14" s="67">
        <f t="shared" si="26"/>
        <v>6.9814895787786033E-2</v>
      </c>
      <c r="AY14" s="67">
        <f t="shared" si="26"/>
        <v>0.15031582021979628</v>
      </c>
      <c r="AZ14" s="67"/>
      <c r="BA14" s="190"/>
      <c r="BB14" s="68">
        <f t="shared" si="7"/>
        <v>0.40617266237426042</v>
      </c>
      <c r="BC14" s="276" t="s">
        <v>226</v>
      </c>
      <c r="BD14" s="69">
        <f>(AW14-$AV14)*100</f>
        <v>5.7314842990867207</v>
      </c>
      <c r="BE14" s="69">
        <f>(AX14-$AV14)*100</f>
        <v>1.2621678745301381</v>
      </c>
      <c r="BF14" s="69">
        <f t="shared" ref="BF14:BG14" si="27">(AY14-$AV14)*100</f>
        <v>9.3122603177311642</v>
      </c>
      <c r="BG14" s="69">
        <f t="shared" si="27"/>
        <v>-5.7193217042484656</v>
      </c>
      <c r="BH14" s="199"/>
      <c r="BI14" s="70">
        <f t="shared" ref="BI14:BI70" si="28">(BB14-$AV14)*100</f>
        <v>34.897944533177579</v>
      </c>
      <c r="BJ14" s="60" t="s">
        <v>226</v>
      </c>
      <c r="BK14" s="71">
        <f t="shared" ref="BK14:BN14" si="29">(AW14-AV14)*100</f>
        <v>5.7314842990867207</v>
      </c>
      <c r="BL14" s="71">
        <f t="shared" si="29"/>
        <v>-4.4693164245565828</v>
      </c>
      <c r="BM14" s="71">
        <f t="shared" si="29"/>
        <v>8.0500924432010255</v>
      </c>
      <c r="BN14" s="71">
        <f t="shared" si="29"/>
        <v>-15.031582021979627</v>
      </c>
      <c r="BO14" s="200"/>
      <c r="BP14" s="72"/>
      <c r="BQ14" s="276">
        <f t="shared" ref="BQ14:BS14" si="30">T14/M14</f>
        <v>0.125</v>
      </c>
      <c r="BR14" s="67">
        <f t="shared" si="30"/>
        <v>9.0909090909090912E-2</v>
      </c>
      <c r="BS14" s="67">
        <f t="shared" si="30"/>
        <v>0.25</v>
      </c>
      <c r="BT14" s="190"/>
      <c r="BU14" s="68">
        <f t="shared" si="12"/>
        <v>1.4925373134328358E-2</v>
      </c>
      <c r="BV14" s="175"/>
      <c r="BW14" s="73"/>
    </row>
    <row r="15" spans="1:75" x14ac:dyDescent="0.25">
      <c r="A15" s="13">
        <v>16</v>
      </c>
      <c r="B15" s="59" t="s">
        <v>121</v>
      </c>
      <c r="C15" s="60">
        <v>0</v>
      </c>
      <c r="D15" s="61">
        <v>0</v>
      </c>
      <c r="E15" s="145">
        <v>0</v>
      </c>
      <c r="F15" s="145"/>
      <c r="G15" s="62"/>
      <c r="H15" s="60">
        <v>113</v>
      </c>
      <c r="I15" s="61">
        <v>113</v>
      </c>
      <c r="J15" s="145">
        <v>113</v>
      </c>
      <c r="K15" s="145"/>
      <c r="L15" s="62"/>
      <c r="M15" s="60">
        <v>95</v>
      </c>
      <c r="N15" s="61">
        <v>109</v>
      </c>
      <c r="O15" s="145">
        <v>43</v>
      </c>
      <c r="P15" s="145"/>
      <c r="Q15" s="62"/>
      <c r="R15" s="60">
        <v>0</v>
      </c>
      <c r="S15" s="61">
        <v>0</v>
      </c>
      <c r="T15" s="61">
        <v>0</v>
      </c>
      <c r="U15" s="61">
        <v>0</v>
      </c>
      <c r="V15" s="145">
        <v>0</v>
      </c>
      <c r="W15" s="145"/>
      <c r="X15" s="62"/>
      <c r="Y15" s="60" t="s">
        <v>81</v>
      </c>
      <c r="Z15" s="61" t="s">
        <v>117</v>
      </c>
      <c r="AA15" s="61" t="s">
        <v>118</v>
      </c>
      <c r="AB15" s="61" t="s">
        <v>119</v>
      </c>
      <c r="AC15" s="61" t="s">
        <v>119</v>
      </c>
      <c r="AD15" s="61">
        <v>1.1200000000000001</v>
      </c>
      <c r="AE15" s="61">
        <v>1.18</v>
      </c>
      <c r="AF15" s="61"/>
      <c r="AG15" s="62"/>
      <c r="AH15" s="270">
        <v>16752.849999999999</v>
      </c>
      <c r="AI15" s="65">
        <v>16741.27</v>
      </c>
      <c r="AJ15" s="65">
        <v>26310.32</v>
      </c>
      <c r="AK15" s="65">
        <v>42346.75</v>
      </c>
      <c r="AL15" s="196">
        <v>47993.54</v>
      </c>
      <c r="AM15" s="196"/>
      <c r="AN15" s="66"/>
      <c r="AO15" s="270">
        <v>5327.95</v>
      </c>
      <c r="AP15" s="65">
        <v>5266.85</v>
      </c>
      <c r="AQ15" s="65">
        <v>8193.6299999999992</v>
      </c>
      <c r="AR15" s="65">
        <v>11036.15</v>
      </c>
      <c r="AS15" s="196">
        <v>18816.3</v>
      </c>
      <c r="AT15" s="196"/>
      <c r="AU15" s="66"/>
      <c r="AV15" s="276">
        <f t="shared" ref="AV15:BA16" si="31">AO15/AH15</f>
        <v>0.31803245417943815</v>
      </c>
      <c r="AW15" s="67">
        <f t="shared" si="31"/>
        <v>0.3146027750582841</v>
      </c>
      <c r="AX15" s="67">
        <f t="shared" si="31"/>
        <v>0.31142266608691949</v>
      </c>
      <c r="AY15" s="67">
        <f t="shared" si="31"/>
        <v>0.26061386056781216</v>
      </c>
      <c r="AZ15" s="190">
        <f t="shared" si="31"/>
        <v>0.39205901460904946</v>
      </c>
      <c r="BA15" s="190"/>
      <c r="BB15" s="190"/>
      <c r="BC15" s="276" t="s">
        <v>226</v>
      </c>
      <c r="BD15" s="69">
        <f t="shared" ref="BD15:BG15" si="32">(AW15-$AV15)*100</f>
        <v>-0.342967912115405</v>
      </c>
      <c r="BE15" s="69">
        <f t="shared" si="32"/>
        <v>-0.66097880925186647</v>
      </c>
      <c r="BF15" s="69">
        <f t="shared" si="32"/>
        <v>-5.7418593611625992</v>
      </c>
      <c r="BG15" s="199">
        <f t="shared" si="32"/>
        <v>7.402656042961131</v>
      </c>
      <c r="BH15" s="199"/>
      <c r="BI15" s="70"/>
      <c r="BJ15" s="60" t="s">
        <v>226</v>
      </c>
      <c r="BK15" s="71">
        <f t="shared" ref="BK15:BO16" si="33">(AW15-AV15)*100</f>
        <v>-0.342967912115405</v>
      </c>
      <c r="BL15" s="71">
        <f t="shared" si="33"/>
        <v>-0.31801089713646147</v>
      </c>
      <c r="BM15" s="71">
        <f t="shared" si="33"/>
        <v>-5.0808805519107327</v>
      </c>
      <c r="BN15" s="200">
        <f t="shared" si="33"/>
        <v>13.14451540412373</v>
      </c>
      <c r="BO15" s="200"/>
      <c r="BP15" s="200"/>
      <c r="BQ15" s="276">
        <f t="shared" ref="BQ15:BS16" si="34">T15/M15</f>
        <v>0</v>
      </c>
      <c r="BR15" s="67">
        <f t="shared" si="34"/>
        <v>0</v>
      </c>
      <c r="BS15" s="67">
        <f t="shared" si="34"/>
        <v>0</v>
      </c>
      <c r="BT15" s="67"/>
      <c r="BU15" s="68"/>
      <c r="BV15" s="175"/>
      <c r="BW15" s="73"/>
    </row>
    <row r="16" spans="1:75" x14ac:dyDescent="0.25">
      <c r="A16" s="13">
        <v>17</v>
      </c>
      <c r="B16" s="59" t="s">
        <v>11</v>
      </c>
      <c r="C16" s="60">
        <v>7</v>
      </c>
      <c r="D16" s="61">
        <v>7</v>
      </c>
      <c r="E16" s="61">
        <v>7</v>
      </c>
      <c r="F16" s="145">
        <v>0</v>
      </c>
      <c r="G16" s="62">
        <v>0</v>
      </c>
      <c r="H16" s="60">
        <v>88</v>
      </c>
      <c r="I16" s="61">
        <v>88</v>
      </c>
      <c r="J16" s="61">
        <v>88</v>
      </c>
      <c r="K16" s="145">
        <v>97</v>
      </c>
      <c r="L16" s="62">
        <v>98</v>
      </c>
      <c r="M16" s="60">
        <v>0</v>
      </c>
      <c r="N16" s="61">
        <v>30</v>
      </c>
      <c r="O16" s="61">
        <v>48</v>
      </c>
      <c r="P16" s="145">
        <v>40</v>
      </c>
      <c r="Q16" s="62">
        <v>38</v>
      </c>
      <c r="R16" s="60">
        <v>0</v>
      </c>
      <c r="S16" s="61">
        <v>0</v>
      </c>
      <c r="T16" s="61">
        <v>0</v>
      </c>
      <c r="U16" s="61">
        <v>0</v>
      </c>
      <c r="V16" s="61">
        <v>0</v>
      </c>
      <c r="W16" s="145">
        <v>0</v>
      </c>
      <c r="X16" s="62">
        <v>0</v>
      </c>
      <c r="Y16" s="60"/>
      <c r="Z16" s="61">
        <v>29.94</v>
      </c>
      <c r="AA16" s="63">
        <v>31</v>
      </c>
      <c r="AB16" s="152">
        <v>31</v>
      </c>
      <c r="AC16" s="63">
        <v>31</v>
      </c>
      <c r="AD16" s="91"/>
      <c r="AE16" s="61"/>
      <c r="AF16" s="152">
        <v>34.72</v>
      </c>
      <c r="AG16" s="64">
        <v>39.99</v>
      </c>
      <c r="AH16" s="270"/>
      <c r="AI16" s="65"/>
      <c r="AJ16" s="65">
        <v>19858</v>
      </c>
      <c r="AK16" s="65">
        <v>23801</v>
      </c>
      <c r="AL16" s="65">
        <v>23693</v>
      </c>
      <c r="AM16" s="196">
        <v>21663.25</v>
      </c>
      <c r="AN16" s="66">
        <v>27541.18</v>
      </c>
      <c r="AO16" s="270"/>
      <c r="AP16" s="65"/>
      <c r="AQ16" s="65">
        <v>1499</v>
      </c>
      <c r="AR16" s="65">
        <v>3647</v>
      </c>
      <c r="AS16" s="65">
        <v>6003</v>
      </c>
      <c r="AT16" s="196">
        <v>2992.3</v>
      </c>
      <c r="AU16" s="66">
        <v>2035.03</v>
      </c>
      <c r="AV16" s="276"/>
      <c r="AW16" s="67"/>
      <c r="AX16" s="67">
        <f t="shared" si="31"/>
        <v>7.5485950246751934E-2</v>
      </c>
      <c r="AY16" s="67">
        <f t="shared" si="31"/>
        <v>0.1532288559304231</v>
      </c>
      <c r="AZ16" s="67">
        <f t="shared" si="31"/>
        <v>0.25336597307221542</v>
      </c>
      <c r="BA16" s="190">
        <f t="shared" si="31"/>
        <v>0.13812793555906894</v>
      </c>
      <c r="BB16" s="68">
        <f t="shared" si="7"/>
        <v>7.3890443328862451E-2</v>
      </c>
      <c r="BC16" s="276" t="s">
        <v>226</v>
      </c>
      <c r="BD16" s="69"/>
      <c r="BE16" s="69"/>
      <c r="BF16" s="69"/>
      <c r="BG16" s="69"/>
      <c r="BH16" s="199">
        <f t="shared" ref="BH16" si="35">(BA16-$AV16)*100</f>
        <v>13.812793555906893</v>
      </c>
      <c r="BI16" s="70">
        <f t="shared" si="28"/>
        <v>7.389044332886245</v>
      </c>
      <c r="BJ16" s="60" t="s">
        <v>226</v>
      </c>
      <c r="BK16" s="71"/>
      <c r="BL16" s="71"/>
      <c r="BM16" s="71">
        <f t="shared" si="33"/>
        <v>7.7742905683671166</v>
      </c>
      <c r="BN16" s="71">
        <f t="shared" si="33"/>
        <v>10.013711714179232</v>
      </c>
      <c r="BO16" s="200">
        <f t="shared" si="33"/>
        <v>-11.523803751314649</v>
      </c>
      <c r="BP16" s="72">
        <f t="shared" si="2"/>
        <v>-6.423749223020649</v>
      </c>
      <c r="BQ16" s="276"/>
      <c r="BR16" s="67">
        <f t="shared" si="34"/>
        <v>0</v>
      </c>
      <c r="BS16" s="67">
        <f>V16/O16</f>
        <v>0</v>
      </c>
      <c r="BT16" s="190">
        <f t="shared" ref="BT16" si="36">W16/P16</f>
        <v>0</v>
      </c>
      <c r="BU16" s="68">
        <f t="shared" si="12"/>
        <v>0</v>
      </c>
      <c r="BV16" s="175">
        <f t="shared" si="13"/>
        <v>0.15178571428571438</v>
      </c>
      <c r="BW16" s="73">
        <f t="shared" si="14"/>
        <v>-0.05</v>
      </c>
    </row>
    <row r="17" spans="1:75" x14ac:dyDescent="0.25">
      <c r="A17" s="13">
        <v>19</v>
      </c>
      <c r="B17" s="59" t="s">
        <v>122</v>
      </c>
      <c r="C17" s="60">
        <v>1</v>
      </c>
      <c r="D17" s="61">
        <v>2</v>
      </c>
      <c r="E17" s="61">
        <v>4</v>
      </c>
      <c r="F17" s="145">
        <v>14</v>
      </c>
      <c r="G17" s="62">
        <v>10</v>
      </c>
      <c r="H17" s="60">
        <v>315</v>
      </c>
      <c r="I17" s="61">
        <v>291</v>
      </c>
      <c r="J17" s="61">
        <v>239</v>
      </c>
      <c r="K17" s="145">
        <v>0</v>
      </c>
      <c r="L17" s="62">
        <v>195</v>
      </c>
      <c r="M17" s="60">
        <v>82</v>
      </c>
      <c r="N17" s="61">
        <v>110</v>
      </c>
      <c r="O17" s="61">
        <v>129</v>
      </c>
      <c r="P17" s="145">
        <v>158</v>
      </c>
      <c r="Q17" s="62">
        <v>79</v>
      </c>
      <c r="R17" s="60">
        <v>16</v>
      </c>
      <c r="S17" s="61">
        <v>12</v>
      </c>
      <c r="T17" s="61">
        <v>11</v>
      </c>
      <c r="U17" s="61">
        <v>9</v>
      </c>
      <c r="V17" s="61">
        <v>47</v>
      </c>
      <c r="W17" s="145">
        <v>41</v>
      </c>
      <c r="X17" s="62">
        <v>24</v>
      </c>
      <c r="Y17" s="60">
        <v>26.34</v>
      </c>
      <c r="Z17" s="61">
        <v>30.39</v>
      </c>
      <c r="AA17" s="61">
        <v>41.84</v>
      </c>
      <c r="AB17" s="145">
        <v>44.24</v>
      </c>
      <c r="AC17" s="63">
        <v>39.299999999999997</v>
      </c>
      <c r="AD17" s="91"/>
      <c r="AE17" s="61"/>
      <c r="AF17" s="152">
        <v>43.26</v>
      </c>
      <c r="AG17" s="64">
        <v>49.46</v>
      </c>
      <c r="AH17" s="270">
        <v>98343</v>
      </c>
      <c r="AI17" s="65">
        <v>93506</v>
      </c>
      <c r="AJ17" s="65">
        <v>126654</v>
      </c>
      <c r="AK17" s="65">
        <v>164436</v>
      </c>
      <c r="AL17" s="65">
        <v>112565</v>
      </c>
      <c r="AM17" s="196">
        <v>109090</v>
      </c>
      <c r="AN17" s="66">
        <v>155983.44</v>
      </c>
      <c r="AO17" s="270">
        <v>6831</v>
      </c>
      <c r="AP17" s="65">
        <v>5649</v>
      </c>
      <c r="AQ17" s="65">
        <v>12173</v>
      </c>
      <c r="AR17" s="65">
        <v>21712</v>
      </c>
      <c r="AS17" s="65">
        <v>29615</v>
      </c>
      <c r="AT17" s="196">
        <v>40929</v>
      </c>
      <c r="AU17" s="66">
        <v>44231.07</v>
      </c>
      <c r="AV17" s="276">
        <f t="shared" ref="AV17:BA17" si="37">AO17/AH17</f>
        <v>6.9460968243799756E-2</v>
      </c>
      <c r="AW17" s="67">
        <f t="shared" si="37"/>
        <v>6.0413235514298551E-2</v>
      </c>
      <c r="AX17" s="67">
        <f t="shared" si="37"/>
        <v>9.6112242803227693E-2</v>
      </c>
      <c r="AY17" s="67">
        <f t="shared" si="37"/>
        <v>0.13203921282444234</v>
      </c>
      <c r="AZ17" s="67">
        <f t="shared" si="37"/>
        <v>0.26309243548172168</v>
      </c>
      <c r="BA17" s="190">
        <f t="shared" si="37"/>
        <v>0.37518562654688792</v>
      </c>
      <c r="BB17" s="68">
        <f t="shared" si="7"/>
        <v>0.28356260126074923</v>
      </c>
      <c r="BC17" s="276" t="s">
        <v>226</v>
      </c>
      <c r="BD17" s="69">
        <f t="shared" ref="BD17:BF17" si="38">(AW17-$AV17)*100</f>
        <v>-0.90477327295012056</v>
      </c>
      <c r="BE17" s="69">
        <f t="shared" si="38"/>
        <v>2.6651274559427938</v>
      </c>
      <c r="BF17" s="69">
        <f t="shared" si="38"/>
        <v>6.2578244580642579</v>
      </c>
      <c r="BG17" s="69">
        <f>(AZ17-$AV17)*100</f>
        <v>19.363146723792191</v>
      </c>
      <c r="BH17" s="199">
        <f t="shared" ref="BH17" si="39">(BA17-$AV17)*100</f>
        <v>30.572465830308815</v>
      </c>
      <c r="BI17" s="70">
        <f t="shared" si="28"/>
        <v>21.410163301694947</v>
      </c>
      <c r="BJ17" s="60" t="s">
        <v>226</v>
      </c>
      <c r="BK17" s="71">
        <f t="shared" ref="BK17:BO17" si="40">(AW17-AV17)*100</f>
        <v>-0.90477327295012056</v>
      </c>
      <c r="BL17" s="71">
        <f t="shared" si="40"/>
        <v>3.5699007288929141</v>
      </c>
      <c r="BM17" s="71">
        <f t="shared" si="40"/>
        <v>3.5926970021214641</v>
      </c>
      <c r="BN17" s="71">
        <f t="shared" si="40"/>
        <v>13.105322265727933</v>
      </c>
      <c r="BO17" s="200">
        <f t="shared" si="40"/>
        <v>11.209319106516624</v>
      </c>
      <c r="BP17" s="72">
        <f t="shared" si="2"/>
        <v>-9.1623025286138695</v>
      </c>
      <c r="BQ17" s="276">
        <f t="shared" ref="BQ17:BR17" si="41">T17/M17</f>
        <v>0.13414634146341464</v>
      </c>
      <c r="BR17" s="67">
        <f t="shared" si="41"/>
        <v>8.1818181818181818E-2</v>
      </c>
      <c r="BS17" s="67">
        <f>V17/O17</f>
        <v>0.36434108527131781</v>
      </c>
      <c r="BT17" s="190">
        <f t="shared" ref="BT17" si="42">W17/P17</f>
        <v>0.25949367088607594</v>
      </c>
      <c r="BU17" s="68">
        <f t="shared" si="12"/>
        <v>0.30379746835443039</v>
      </c>
      <c r="BV17" s="175">
        <f t="shared" si="13"/>
        <v>0.14331946370781329</v>
      </c>
      <c r="BW17" s="73">
        <f t="shared" si="14"/>
        <v>-0.5</v>
      </c>
    </row>
    <row r="18" spans="1:75" x14ac:dyDescent="0.25">
      <c r="A18" s="13">
        <v>19</v>
      </c>
      <c r="B18" s="59" t="s">
        <v>324</v>
      </c>
      <c r="C18" s="60"/>
      <c r="D18" s="61"/>
      <c r="E18" s="61"/>
      <c r="F18" s="145">
        <v>0</v>
      </c>
      <c r="G18" s="62">
        <v>0</v>
      </c>
      <c r="H18" s="60"/>
      <c r="I18" s="61"/>
      <c r="J18" s="61"/>
      <c r="K18" s="145">
        <v>72</v>
      </c>
      <c r="L18" s="62">
        <v>116</v>
      </c>
      <c r="M18" s="60"/>
      <c r="N18" s="61"/>
      <c r="O18" s="61"/>
      <c r="P18" s="145">
        <v>12</v>
      </c>
      <c r="Q18" s="62">
        <v>33</v>
      </c>
      <c r="R18" s="60"/>
      <c r="S18" s="61"/>
      <c r="T18" s="61"/>
      <c r="U18" s="61"/>
      <c r="V18" s="61"/>
      <c r="W18" s="145">
        <v>3</v>
      </c>
      <c r="X18" s="62">
        <v>0</v>
      </c>
      <c r="Y18" s="60"/>
      <c r="Z18" s="61"/>
      <c r="AA18" s="61"/>
      <c r="AB18" s="145"/>
      <c r="AC18" s="63"/>
      <c r="AD18" s="91"/>
      <c r="AE18" s="61"/>
      <c r="AF18" s="152">
        <v>38.78</v>
      </c>
      <c r="AG18" s="64">
        <v>34.9</v>
      </c>
      <c r="AH18" s="270"/>
      <c r="AI18" s="65"/>
      <c r="AJ18" s="65"/>
      <c r="AK18" s="65"/>
      <c r="AL18" s="65"/>
      <c r="AM18" s="196">
        <v>22404</v>
      </c>
      <c r="AN18" s="66">
        <v>79577</v>
      </c>
      <c r="AO18" s="270"/>
      <c r="AP18" s="65"/>
      <c r="AQ18" s="65"/>
      <c r="AR18" s="65"/>
      <c r="AS18" s="65"/>
      <c r="AT18" s="196">
        <v>5049</v>
      </c>
      <c r="AU18" s="66">
        <v>7888</v>
      </c>
      <c r="AV18" s="276"/>
      <c r="AW18" s="67"/>
      <c r="AX18" s="67"/>
      <c r="AY18" s="67"/>
      <c r="AZ18" s="67"/>
      <c r="BA18" s="190">
        <f t="shared" ref="BA18:BA19" si="43">AT18/AM18</f>
        <v>0.22536154258168184</v>
      </c>
      <c r="BB18" s="68">
        <f t="shared" si="7"/>
        <v>9.912411877803888E-2</v>
      </c>
      <c r="BC18" s="276"/>
      <c r="BD18" s="69"/>
      <c r="BE18" s="69"/>
      <c r="BF18" s="69"/>
      <c r="BG18" s="69"/>
      <c r="BH18" s="199"/>
      <c r="BI18" s="70"/>
      <c r="BJ18" s="60"/>
      <c r="BK18" s="71"/>
      <c r="BL18" s="71"/>
      <c r="BM18" s="71"/>
      <c r="BN18" s="71"/>
      <c r="BO18" s="200"/>
      <c r="BP18" s="72">
        <f t="shared" si="2"/>
        <v>-12.623742380364295</v>
      </c>
      <c r="BQ18" s="276"/>
      <c r="BR18" s="67"/>
      <c r="BS18" s="67"/>
      <c r="BT18" s="190">
        <f t="shared" ref="BT18:BT19" si="44">W18/P18</f>
        <v>0.25</v>
      </c>
      <c r="BU18" s="68">
        <f t="shared" si="12"/>
        <v>0</v>
      </c>
      <c r="BV18" s="175">
        <f t="shared" si="13"/>
        <v>-0.10005157297576077</v>
      </c>
      <c r="BW18" s="73">
        <f t="shared" si="14"/>
        <v>1.75</v>
      </c>
    </row>
    <row r="19" spans="1:75" x14ac:dyDescent="0.25">
      <c r="A19" s="13">
        <v>22</v>
      </c>
      <c r="B19" s="59" t="s">
        <v>13</v>
      </c>
      <c r="C19" s="60"/>
      <c r="D19" s="61"/>
      <c r="E19" s="61"/>
      <c r="F19" s="145">
        <v>0</v>
      </c>
      <c r="G19" s="62">
        <v>0</v>
      </c>
      <c r="H19" s="60"/>
      <c r="I19" s="61"/>
      <c r="J19" s="61"/>
      <c r="K19" s="145">
        <v>294</v>
      </c>
      <c r="L19" s="62">
        <v>275</v>
      </c>
      <c r="M19" s="60"/>
      <c r="N19" s="61"/>
      <c r="O19" s="61"/>
      <c r="P19" s="145">
        <v>98</v>
      </c>
      <c r="Q19" s="62">
        <v>89</v>
      </c>
      <c r="R19" s="60"/>
      <c r="S19" s="61"/>
      <c r="T19" s="61"/>
      <c r="U19" s="61"/>
      <c r="V19" s="61"/>
      <c r="W19" s="145">
        <v>9</v>
      </c>
      <c r="X19" s="62">
        <v>15</v>
      </c>
      <c r="Y19" s="60"/>
      <c r="Z19" s="61"/>
      <c r="AA19" s="61"/>
      <c r="AB19" s="145"/>
      <c r="AC19" s="61"/>
      <c r="AD19" s="91"/>
      <c r="AE19" s="61"/>
      <c r="AF19" s="152">
        <v>26.36</v>
      </c>
      <c r="AG19" s="152">
        <v>26.36</v>
      </c>
      <c r="AH19" s="270"/>
      <c r="AI19" s="65"/>
      <c r="AJ19" s="65"/>
      <c r="AK19" s="65"/>
      <c r="AL19" s="65"/>
      <c r="AM19" s="196">
        <v>87601</v>
      </c>
      <c r="AN19" s="66">
        <v>69602</v>
      </c>
      <c r="AO19" s="270"/>
      <c r="AP19" s="65"/>
      <c r="AQ19" s="65"/>
      <c r="AR19" s="65"/>
      <c r="AS19" s="65"/>
      <c r="AT19" s="196">
        <v>19994</v>
      </c>
      <c r="AU19" s="66">
        <v>20699</v>
      </c>
      <c r="AV19" s="276"/>
      <c r="AW19" s="67"/>
      <c r="AX19" s="67"/>
      <c r="AY19" s="67"/>
      <c r="AZ19" s="67"/>
      <c r="BA19" s="190">
        <f t="shared" si="43"/>
        <v>0.22823940365977557</v>
      </c>
      <c r="BB19" s="68">
        <f t="shared" si="7"/>
        <v>0.2973908795724261</v>
      </c>
      <c r="BC19" s="276" t="s">
        <v>226</v>
      </c>
      <c r="BD19" s="69"/>
      <c r="BE19" s="69"/>
      <c r="BF19" s="69"/>
      <c r="BG19" s="69"/>
      <c r="BH19" s="199"/>
      <c r="BI19" s="70"/>
      <c r="BJ19" s="60" t="s">
        <v>226</v>
      </c>
      <c r="BK19" s="71"/>
      <c r="BL19" s="71"/>
      <c r="BM19" s="71"/>
      <c r="BN19" s="71"/>
      <c r="BO19" s="200"/>
      <c r="BP19" s="72">
        <f t="shared" si="2"/>
        <v>6.9151475912650531</v>
      </c>
      <c r="BQ19" s="276"/>
      <c r="BR19" s="67"/>
      <c r="BS19" s="67"/>
      <c r="BT19" s="190">
        <f t="shared" si="44"/>
        <v>9.1836734693877556E-2</v>
      </c>
      <c r="BU19" s="68">
        <f t="shared" si="12"/>
        <v>0.16853932584269662</v>
      </c>
      <c r="BV19" s="175">
        <f t="shared" si="13"/>
        <v>0</v>
      </c>
      <c r="BW19" s="73">
        <f t="shared" si="14"/>
        <v>-9.1836734693877556E-2</v>
      </c>
    </row>
    <row r="20" spans="1:75" s="22" customFormat="1" x14ac:dyDescent="0.25">
      <c r="A20" s="13">
        <v>21</v>
      </c>
      <c r="B20" s="59" t="s">
        <v>313</v>
      </c>
      <c r="C20" s="60">
        <v>0</v>
      </c>
      <c r="D20" s="61">
        <v>0</v>
      </c>
      <c r="E20" s="145">
        <v>0</v>
      </c>
      <c r="F20" s="145"/>
      <c r="G20" s="62"/>
      <c r="H20" s="60">
        <v>77</v>
      </c>
      <c r="I20" s="61">
        <v>77</v>
      </c>
      <c r="J20" s="145">
        <v>77</v>
      </c>
      <c r="K20" s="145"/>
      <c r="L20" s="62"/>
      <c r="M20" s="60">
        <v>17</v>
      </c>
      <c r="N20" s="61">
        <v>34</v>
      </c>
      <c r="O20" s="145">
        <v>44</v>
      </c>
      <c r="P20" s="145"/>
      <c r="Q20" s="62"/>
      <c r="R20" s="60">
        <v>0</v>
      </c>
      <c r="S20" s="61">
        <v>0</v>
      </c>
      <c r="T20" s="61">
        <v>0</v>
      </c>
      <c r="U20" s="61">
        <v>0</v>
      </c>
      <c r="V20" s="145">
        <v>0</v>
      </c>
      <c r="W20" s="145"/>
      <c r="X20" s="62"/>
      <c r="Y20" s="60"/>
      <c r="Z20" s="61"/>
      <c r="AA20" s="61"/>
      <c r="AB20" s="61"/>
      <c r="AC20" s="61"/>
      <c r="AD20" s="61"/>
      <c r="AE20" s="61"/>
      <c r="AF20" s="61"/>
      <c r="AG20" s="62"/>
      <c r="AH20" s="270">
        <v>14092</v>
      </c>
      <c r="AI20" s="65">
        <v>14092</v>
      </c>
      <c r="AJ20" s="65">
        <v>14092</v>
      </c>
      <c r="AK20" s="65">
        <v>14092</v>
      </c>
      <c r="AL20" s="196">
        <v>14092</v>
      </c>
      <c r="AM20" s="196"/>
      <c r="AN20" s="66"/>
      <c r="AO20" s="270">
        <v>3964</v>
      </c>
      <c r="AP20" s="65">
        <v>3521</v>
      </c>
      <c r="AQ20" s="65">
        <v>3320</v>
      </c>
      <c r="AR20" s="65">
        <v>3982</v>
      </c>
      <c r="AS20" s="196">
        <v>3642</v>
      </c>
      <c r="AT20" s="196"/>
      <c r="AU20" s="66"/>
      <c r="AV20" s="276">
        <f t="shared" ref="AV20:BA22" si="45">AO20/AH20</f>
        <v>0.28129435140505249</v>
      </c>
      <c r="AW20" s="67">
        <f t="shared" si="45"/>
        <v>0.24985807550383196</v>
      </c>
      <c r="AX20" s="67">
        <f t="shared" si="45"/>
        <v>0.23559466363894407</v>
      </c>
      <c r="AY20" s="67">
        <f t="shared" si="45"/>
        <v>0.28257167187056487</v>
      </c>
      <c r="AZ20" s="190">
        <f t="shared" si="45"/>
        <v>0.25844450752199832</v>
      </c>
      <c r="BA20" s="190"/>
      <c r="BB20" s="190"/>
      <c r="BC20" s="276"/>
      <c r="BD20" s="69">
        <f t="shared" ref="BD20:BG22" si="46">(AW20-$AV20)*100</f>
        <v>-3.143627590122053</v>
      </c>
      <c r="BE20" s="69">
        <f t="shared" si="46"/>
        <v>-4.5699687766108417</v>
      </c>
      <c r="BF20" s="69">
        <f t="shared" si="46"/>
        <v>0.12773204655123771</v>
      </c>
      <c r="BG20" s="199">
        <f t="shared" si="46"/>
        <v>-2.2849843883054168</v>
      </c>
      <c r="BH20" s="199"/>
      <c r="BI20" s="70"/>
      <c r="BJ20" s="60"/>
      <c r="BK20" s="71">
        <f t="shared" ref="BK20:BN22" si="47">(AW20-AV20)*100</f>
        <v>-3.143627590122053</v>
      </c>
      <c r="BL20" s="71">
        <f t="shared" si="47"/>
        <v>-1.4263411864887887</v>
      </c>
      <c r="BM20" s="71">
        <f t="shared" si="47"/>
        <v>4.6977008231620792</v>
      </c>
      <c r="BN20" s="200">
        <f t="shared" si="47"/>
        <v>-2.4127164348566543</v>
      </c>
      <c r="BO20" s="200"/>
      <c r="BP20" s="200"/>
      <c r="BQ20" s="276">
        <f t="shared" ref="BQ20:BS22" si="48">T20/M20</f>
        <v>0</v>
      </c>
      <c r="BR20" s="67">
        <f t="shared" si="48"/>
        <v>0</v>
      </c>
      <c r="BS20" s="67">
        <f t="shared" si="48"/>
        <v>0</v>
      </c>
      <c r="BT20" s="67"/>
      <c r="BU20" s="68"/>
      <c r="BV20" s="175"/>
      <c r="BW20" s="73"/>
    </row>
    <row r="21" spans="1:75" x14ac:dyDescent="0.25">
      <c r="A21" s="13">
        <v>24</v>
      </c>
      <c r="B21" s="59" t="s">
        <v>123</v>
      </c>
      <c r="C21" s="60">
        <v>0</v>
      </c>
      <c r="D21" s="61">
        <v>0</v>
      </c>
      <c r="E21" s="61">
        <v>0</v>
      </c>
      <c r="F21" s="145">
        <v>0</v>
      </c>
      <c r="G21" s="62">
        <v>0</v>
      </c>
      <c r="H21" s="60">
        <v>131</v>
      </c>
      <c r="I21" s="61">
        <v>142</v>
      </c>
      <c r="J21" s="61">
        <v>142</v>
      </c>
      <c r="K21" s="145">
        <v>258</v>
      </c>
      <c r="L21" s="62">
        <v>381</v>
      </c>
      <c r="M21" s="60">
        <v>12</v>
      </c>
      <c r="N21" s="61">
        <v>12</v>
      </c>
      <c r="O21" s="61">
        <v>11</v>
      </c>
      <c r="P21" s="145">
        <v>18</v>
      </c>
      <c r="Q21" s="62">
        <v>19</v>
      </c>
      <c r="R21" s="60">
        <v>4</v>
      </c>
      <c r="S21" s="61">
        <v>4</v>
      </c>
      <c r="T21" s="61">
        <v>4</v>
      </c>
      <c r="U21" s="61">
        <v>0</v>
      </c>
      <c r="V21" s="61">
        <v>0</v>
      </c>
      <c r="W21" s="145">
        <v>5</v>
      </c>
      <c r="X21" s="62">
        <v>4</v>
      </c>
      <c r="Y21" s="60">
        <v>23.75</v>
      </c>
      <c r="Z21" s="61">
        <v>25.7</v>
      </c>
      <c r="AA21" s="61">
        <v>35.6</v>
      </c>
      <c r="AB21" s="145">
        <v>40.450000000000003</v>
      </c>
      <c r="AC21" s="61">
        <v>36.54</v>
      </c>
      <c r="AD21" s="91"/>
      <c r="AE21" s="61"/>
      <c r="AF21" s="152">
        <v>40.450000000000003</v>
      </c>
      <c r="AG21" s="64">
        <v>40.450000000000003</v>
      </c>
      <c r="AH21" s="270">
        <v>21599</v>
      </c>
      <c r="AI21" s="65">
        <v>27492</v>
      </c>
      <c r="AJ21" s="65">
        <v>34843</v>
      </c>
      <c r="AK21" s="65">
        <v>42851</v>
      </c>
      <c r="AL21" s="65">
        <v>43840</v>
      </c>
      <c r="AM21" s="196">
        <v>48727</v>
      </c>
      <c r="AN21" s="66">
        <v>59343</v>
      </c>
      <c r="AO21" s="270">
        <v>907</v>
      </c>
      <c r="AP21" s="65">
        <v>370</v>
      </c>
      <c r="AQ21" s="65">
        <v>1311</v>
      </c>
      <c r="AR21" s="65">
        <v>3157</v>
      </c>
      <c r="AS21" s="65">
        <v>3377</v>
      </c>
      <c r="AT21" s="196">
        <v>1879</v>
      </c>
      <c r="AU21" s="66">
        <v>6005</v>
      </c>
      <c r="AV21" s="276">
        <f t="shared" si="45"/>
        <v>4.1992684846520675E-2</v>
      </c>
      <c r="AW21" s="67">
        <f t="shared" si="45"/>
        <v>1.3458460643096174E-2</v>
      </c>
      <c r="AX21" s="67">
        <f t="shared" si="45"/>
        <v>3.7625921992939758E-2</v>
      </c>
      <c r="AY21" s="67">
        <f t="shared" si="45"/>
        <v>7.3673893258033654E-2</v>
      </c>
      <c r="AZ21" s="67">
        <f t="shared" si="45"/>
        <v>7.7030109489051091E-2</v>
      </c>
      <c r="BA21" s="190">
        <f t="shared" si="45"/>
        <v>3.8561782995054077E-2</v>
      </c>
      <c r="BB21" s="68">
        <f t="shared" si="7"/>
        <v>0.10119137893264581</v>
      </c>
      <c r="BC21" s="276" t="s">
        <v>226</v>
      </c>
      <c r="BD21" s="69">
        <f t="shared" si="46"/>
        <v>-2.8534224203424503</v>
      </c>
      <c r="BE21" s="69">
        <f t="shared" si="46"/>
        <v>-0.43667628535809178</v>
      </c>
      <c r="BF21" s="69">
        <f t="shared" si="46"/>
        <v>3.168120841151298</v>
      </c>
      <c r="BG21" s="69">
        <f>(AZ21-$AV21)*100</f>
        <v>3.5037424642530417</v>
      </c>
      <c r="BH21" s="199">
        <f t="shared" ref="BH21:BH22" si="49">(BA21-$AV21)*100</f>
        <v>-0.3430901851466599</v>
      </c>
      <c r="BI21" s="70">
        <f t="shared" si="28"/>
        <v>5.919869408612513</v>
      </c>
      <c r="BJ21" s="60" t="s">
        <v>226</v>
      </c>
      <c r="BK21" s="71">
        <f t="shared" si="47"/>
        <v>-2.8534224203424503</v>
      </c>
      <c r="BL21" s="71">
        <f t="shared" si="47"/>
        <v>2.4167461349843586</v>
      </c>
      <c r="BM21" s="71">
        <f t="shared" si="47"/>
        <v>3.6047971265093897</v>
      </c>
      <c r="BN21" s="71">
        <f t="shared" ref="BN21:BN26" si="50">(AZ21-AY21)*100</f>
        <v>0.33562162310174365</v>
      </c>
      <c r="BO21" s="200">
        <f t="shared" ref="BO21:BP22" si="51">(BA21-AZ21)*100</f>
        <v>-3.8468326493997016</v>
      </c>
      <c r="BP21" s="72">
        <f t="shared" si="51"/>
        <v>6.2629595937591738</v>
      </c>
      <c r="BQ21" s="276">
        <f t="shared" si="48"/>
        <v>0.33333333333333331</v>
      </c>
      <c r="BR21" s="67">
        <f t="shared" si="48"/>
        <v>0</v>
      </c>
      <c r="BS21" s="67">
        <f>V21/O21</f>
        <v>0</v>
      </c>
      <c r="BT21" s="190">
        <f t="shared" ref="BT21:BT22" si="52">W21/P21</f>
        <v>0.27777777777777779</v>
      </c>
      <c r="BU21" s="68">
        <f t="shared" si="12"/>
        <v>0.21052631578947367</v>
      </c>
      <c r="BV21" s="175">
        <f t="shared" si="13"/>
        <v>0</v>
      </c>
      <c r="BW21" s="73">
        <f t="shared" si="14"/>
        <v>5.5555555555555552E-2</v>
      </c>
    </row>
    <row r="22" spans="1:75" x14ac:dyDescent="0.25">
      <c r="A22" s="13">
        <v>24</v>
      </c>
      <c r="B22" s="59" t="s">
        <v>124</v>
      </c>
      <c r="C22" s="60">
        <v>0</v>
      </c>
      <c r="D22" s="61">
        <v>0</v>
      </c>
      <c r="E22" s="61">
        <v>0</v>
      </c>
      <c r="F22" s="145">
        <v>0</v>
      </c>
      <c r="G22" s="62">
        <v>0</v>
      </c>
      <c r="H22" s="60">
        <v>72</v>
      </c>
      <c r="I22" s="61">
        <v>62</v>
      </c>
      <c r="J22" s="61">
        <v>66</v>
      </c>
      <c r="K22" s="145">
        <v>66</v>
      </c>
      <c r="L22" s="62">
        <v>65</v>
      </c>
      <c r="M22" s="60">
        <v>21</v>
      </c>
      <c r="N22" s="61">
        <v>15</v>
      </c>
      <c r="O22" s="61">
        <v>12</v>
      </c>
      <c r="P22" s="145">
        <v>21</v>
      </c>
      <c r="Q22" s="62">
        <v>19</v>
      </c>
      <c r="R22" s="60">
        <v>2</v>
      </c>
      <c r="S22" s="61">
        <v>0</v>
      </c>
      <c r="T22" s="61">
        <v>0</v>
      </c>
      <c r="U22" s="61">
        <v>0</v>
      </c>
      <c r="V22" s="61">
        <v>0</v>
      </c>
      <c r="W22" s="145">
        <v>0</v>
      </c>
      <c r="X22" s="62">
        <v>0</v>
      </c>
      <c r="Y22" s="60" t="s">
        <v>125</v>
      </c>
      <c r="Z22" s="61" t="s">
        <v>126</v>
      </c>
      <c r="AA22" s="61" t="s">
        <v>127</v>
      </c>
      <c r="AB22" s="145" t="s">
        <v>128</v>
      </c>
      <c r="AC22" s="61" t="s">
        <v>128</v>
      </c>
      <c r="AD22" s="91">
        <v>0.6</v>
      </c>
      <c r="AE22" s="61">
        <v>0.68</v>
      </c>
      <c r="AF22" s="152" t="s">
        <v>128</v>
      </c>
      <c r="AG22" s="152" t="s">
        <v>394</v>
      </c>
      <c r="AH22" s="270">
        <v>8488</v>
      </c>
      <c r="AI22" s="65">
        <v>11318</v>
      </c>
      <c r="AJ22" s="65">
        <v>11318</v>
      </c>
      <c r="AK22" s="65">
        <v>16978</v>
      </c>
      <c r="AL22" s="65">
        <v>16590</v>
      </c>
      <c r="AM22" s="196">
        <v>20056</v>
      </c>
      <c r="AN22" s="66">
        <v>19056</v>
      </c>
      <c r="AO22" s="270">
        <v>2000</v>
      </c>
      <c r="AP22" s="65">
        <v>2800</v>
      </c>
      <c r="AQ22" s="65">
        <v>3000</v>
      </c>
      <c r="AR22" s="65">
        <v>3500</v>
      </c>
      <c r="AS22" s="65">
        <v>1690</v>
      </c>
      <c r="AT22" s="196">
        <v>2900</v>
      </c>
      <c r="AU22" s="66">
        <v>3240</v>
      </c>
      <c r="AV22" s="276">
        <f t="shared" si="45"/>
        <v>0.23562676720075401</v>
      </c>
      <c r="AW22" s="67">
        <f t="shared" si="45"/>
        <v>0.24739353242622372</v>
      </c>
      <c r="AX22" s="67">
        <f t="shared" si="45"/>
        <v>0.26506449902809681</v>
      </c>
      <c r="AY22" s="67">
        <f t="shared" si="45"/>
        <v>0.20614913417363648</v>
      </c>
      <c r="AZ22" s="67">
        <f t="shared" si="45"/>
        <v>0.10186859553948162</v>
      </c>
      <c r="BA22" s="190">
        <f t="shared" si="45"/>
        <v>0.14459513362584764</v>
      </c>
      <c r="BB22" s="68">
        <f t="shared" si="7"/>
        <v>0.17002518891687657</v>
      </c>
      <c r="BC22" s="276" t="s">
        <v>226</v>
      </c>
      <c r="BD22" s="69">
        <f t="shared" si="46"/>
        <v>1.1766765225469711</v>
      </c>
      <c r="BE22" s="69">
        <f t="shared" si="46"/>
        <v>2.9437731827342799</v>
      </c>
      <c r="BF22" s="69">
        <f t="shared" si="46"/>
        <v>-2.9477633027117536</v>
      </c>
      <c r="BG22" s="69">
        <f>(AZ22-$AV22)*100</f>
        <v>-13.375817166127241</v>
      </c>
      <c r="BH22" s="199">
        <f t="shared" si="49"/>
        <v>-9.1031633574906365</v>
      </c>
      <c r="BI22" s="70">
        <f t="shared" si="28"/>
        <v>-6.5601578283877444</v>
      </c>
      <c r="BJ22" s="287" t="s">
        <v>226</v>
      </c>
      <c r="BK22" s="71">
        <f t="shared" si="47"/>
        <v>1.1766765225469711</v>
      </c>
      <c r="BL22" s="71">
        <f t="shared" si="47"/>
        <v>1.7670966601873088</v>
      </c>
      <c r="BM22" s="71">
        <f t="shared" si="47"/>
        <v>-5.891536485446033</v>
      </c>
      <c r="BN22" s="71">
        <f t="shared" si="50"/>
        <v>-10.428053863415485</v>
      </c>
      <c r="BO22" s="200">
        <f t="shared" si="51"/>
        <v>4.2726538086366022</v>
      </c>
      <c r="BP22" s="72">
        <f t="shared" si="51"/>
        <v>2.543005529102893</v>
      </c>
      <c r="BQ22" s="276">
        <f t="shared" si="48"/>
        <v>0</v>
      </c>
      <c r="BR22" s="67">
        <f t="shared" si="48"/>
        <v>0</v>
      </c>
      <c r="BS22" s="67">
        <f>V22/O22</f>
        <v>0</v>
      </c>
      <c r="BT22" s="190">
        <f t="shared" si="52"/>
        <v>0</v>
      </c>
      <c r="BU22" s="68">
        <f t="shared" si="12"/>
        <v>0</v>
      </c>
      <c r="BV22" s="175"/>
      <c r="BW22" s="73">
        <f t="shared" si="14"/>
        <v>-9.5238095238095233E-2</v>
      </c>
    </row>
    <row r="23" spans="1:75" x14ac:dyDescent="0.25">
      <c r="A23" s="13">
        <v>25</v>
      </c>
      <c r="B23" s="59" t="s">
        <v>138</v>
      </c>
      <c r="C23" s="60">
        <v>0</v>
      </c>
      <c r="D23" s="61">
        <v>0</v>
      </c>
      <c r="E23" s="61">
        <v>0</v>
      </c>
      <c r="F23" s="145">
        <v>5</v>
      </c>
      <c r="G23" s="62">
        <v>5</v>
      </c>
      <c r="H23" s="60">
        <v>171</v>
      </c>
      <c r="I23" s="61">
        <v>171</v>
      </c>
      <c r="J23" s="61">
        <v>171</v>
      </c>
      <c r="K23" s="145">
        <v>170</v>
      </c>
      <c r="L23" s="62">
        <v>170</v>
      </c>
      <c r="M23" s="60">
        <v>68</v>
      </c>
      <c r="N23" s="61">
        <v>72</v>
      </c>
      <c r="O23" s="61">
        <v>78</v>
      </c>
      <c r="P23" s="145">
        <v>44</v>
      </c>
      <c r="Q23" s="62">
        <v>37</v>
      </c>
      <c r="R23" s="60">
        <v>5</v>
      </c>
      <c r="S23" s="61">
        <v>0</v>
      </c>
      <c r="T23" s="61">
        <v>0</v>
      </c>
      <c r="U23" s="61">
        <v>1</v>
      </c>
      <c r="V23" s="61">
        <v>1</v>
      </c>
      <c r="W23" s="145">
        <v>1</v>
      </c>
      <c r="X23" s="62">
        <v>8</v>
      </c>
      <c r="Y23" s="60" t="s">
        <v>130</v>
      </c>
      <c r="Z23" s="61" t="s">
        <v>133</v>
      </c>
      <c r="AA23" s="61" t="s">
        <v>134</v>
      </c>
      <c r="AB23" s="145" t="s">
        <v>135</v>
      </c>
      <c r="AC23" s="61" t="s">
        <v>135</v>
      </c>
      <c r="AD23" s="91">
        <v>1</v>
      </c>
      <c r="AE23" s="61">
        <v>1.1000000000000001</v>
      </c>
      <c r="AF23" s="145" t="s">
        <v>135</v>
      </c>
      <c r="AG23" s="62">
        <v>41.51</v>
      </c>
      <c r="AH23" s="270">
        <v>34362</v>
      </c>
      <c r="AI23" s="65">
        <v>31860</v>
      </c>
      <c r="AJ23" s="65">
        <v>36520</v>
      </c>
      <c r="AK23" s="65">
        <v>45600</v>
      </c>
      <c r="AL23" s="65">
        <v>46150</v>
      </c>
      <c r="AM23" s="196">
        <v>57784</v>
      </c>
      <c r="AN23" s="66">
        <v>60583</v>
      </c>
      <c r="AO23" s="270">
        <v>28486</v>
      </c>
      <c r="AP23" s="65">
        <v>31541</v>
      </c>
      <c r="AQ23" s="65">
        <v>35607</v>
      </c>
      <c r="AR23" s="65">
        <v>41633</v>
      </c>
      <c r="AS23" s="65">
        <v>46611</v>
      </c>
      <c r="AT23" s="196">
        <v>14833</v>
      </c>
      <c r="AU23" s="66">
        <v>9868</v>
      </c>
      <c r="AV23" s="276">
        <f t="shared" ref="AV23:BA23" si="53">AO23/AH23</f>
        <v>0.82899714801233926</v>
      </c>
      <c r="AW23" s="67">
        <f t="shared" si="53"/>
        <v>0.98998744507219083</v>
      </c>
      <c r="AX23" s="67">
        <f t="shared" si="53"/>
        <v>0.97499999999999998</v>
      </c>
      <c r="AY23" s="67">
        <f t="shared" si="53"/>
        <v>0.91300438596491229</v>
      </c>
      <c r="AZ23" s="67">
        <f t="shared" si="53"/>
        <v>1.0099891657638136</v>
      </c>
      <c r="BA23" s="190">
        <f t="shared" si="53"/>
        <v>0.25669735566938945</v>
      </c>
      <c r="BB23" s="68">
        <f t="shared" si="7"/>
        <v>0.16288397735338297</v>
      </c>
      <c r="BC23" s="276" t="s">
        <v>226</v>
      </c>
      <c r="BD23" s="69">
        <f t="shared" ref="BD23:BF23" si="54">(AW23-$AV23)*100</f>
        <v>16.099029705985156</v>
      </c>
      <c r="BE23" s="69">
        <f t="shared" si="54"/>
        <v>14.600285198766072</v>
      </c>
      <c r="BF23" s="69">
        <f t="shared" si="54"/>
        <v>8.4007237952573028</v>
      </c>
      <c r="BG23" s="69">
        <f>(AZ23-$AV23)*100</f>
        <v>18.099201775147435</v>
      </c>
      <c r="BH23" s="199"/>
      <c r="BI23" s="70">
        <f t="shared" si="28"/>
        <v>-66.611317065895619</v>
      </c>
      <c r="BJ23" s="60" t="s">
        <v>226</v>
      </c>
      <c r="BK23" s="71">
        <f t="shared" ref="BK23:BM23" si="55">(AW23-AV23)*100</f>
        <v>16.099029705985156</v>
      </c>
      <c r="BL23" s="71">
        <f t="shared" si="55"/>
        <v>-1.4987445072190853</v>
      </c>
      <c r="BM23" s="71">
        <f t="shared" si="55"/>
        <v>-6.1995614035087687</v>
      </c>
      <c r="BN23" s="71">
        <f t="shared" si="50"/>
        <v>9.6984779798901304</v>
      </c>
      <c r="BO23" s="200"/>
      <c r="BP23" s="72">
        <f t="shared" ref="BP23:BP76" si="56">(BB23-BA23)*100</f>
        <v>-9.3813378316006482</v>
      </c>
      <c r="BQ23" s="276">
        <f t="shared" ref="BQ23:BR23" si="57">T23/M23</f>
        <v>0</v>
      </c>
      <c r="BR23" s="67">
        <f t="shared" si="57"/>
        <v>1.3888888888888888E-2</v>
      </c>
      <c r="BS23" s="67">
        <f>V23/O23</f>
        <v>1.282051282051282E-2</v>
      </c>
      <c r="BT23" s="190">
        <f t="shared" ref="BT23" si="58">W23/P23</f>
        <v>2.2727272727272728E-2</v>
      </c>
      <c r="BU23" s="68">
        <f t="shared" si="12"/>
        <v>0.21621621621621623</v>
      </c>
      <c r="BV23" s="175"/>
      <c r="BW23" s="73">
        <f t="shared" si="14"/>
        <v>-0.15909090909090909</v>
      </c>
    </row>
    <row r="24" spans="1:75" x14ac:dyDescent="0.25">
      <c r="A24" s="13">
        <v>25</v>
      </c>
      <c r="B24" s="59" t="s">
        <v>140</v>
      </c>
      <c r="C24" s="60">
        <v>0</v>
      </c>
      <c r="D24" s="61">
        <v>0</v>
      </c>
      <c r="E24" s="61">
        <v>0</v>
      </c>
      <c r="F24" s="145"/>
      <c r="G24" s="62">
        <v>0</v>
      </c>
      <c r="H24" s="60">
        <v>69</v>
      </c>
      <c r="I24" s="61">
        <v>69</v>
      </c>
      <c r="J24" s="61">
        <v>68</v>
      </c>
      <c r="K24" s="145"/>
      <c r="L24" s="62">
        <v>72</v>
      </c>
      <c r="M24" s="60">
        <v>10</v>
      </c>
      <c r="N24" s="61">
        <v>18</v>
      </c>
      <c r="O24" s="61">
        <v>17</v>
      </c>
      <c r="P24" s="145"/>
      <c r="Q24" s="62">
        <v>36</v>
      </c>
      <c r="R24" s="60">
        <v>2</v>
      </c>
      <c r="S24" s="61">
        <v>0</v>
      </c>
      <c r="T24" s="61">
        <v>5</v>
      </c>
      <c r="U24" s="61">
        <v>0</v>
      </c>
      <c r="V24" s="61">
        <v>0</v>
      </c>
      <c r="W24" s="145"/>
      <c r="X24" s="62">
        <v>0</v>
      </c>
      <c r="Y24" s="60" t="s">
        <v>128</v>
      </c>
      <c r="Z24" s="61" t="s">
        <v>128</v>
      </c>
      <c r="AA24" s="61">
        <v>40.200000000000003</v>
      </c>
      <c r="AB24" s="145">
        <v>40.200000000000003</v>
      </c>
      <c r="AC24" s="61">
        <v>40.200000000000003</v>
      </c>
      <c r="AD24" s="91"/>
      <c r="AE24" s="61"/>
      <c r="AF24" s="152"/>
      <c r="AG24" s="64">
        <v>41.8</v>
      </c>
      <c r="AH24" s="270">
        <v>11120</v>
      </c>
      <c r="AI24" s="65">
        <v>14403</v>
      </c>
      <c r="AJ24" s="65">
        <v>14895</v>
      </c>
      <c r="AK24" s="65">
        <v>22272</v>
      </c>
      <c r="AL24" s="65">
        <v>23531</v>
      </c>
      <c r="AM24" s="196"/>
      <c r="AN24" s="66">
        <v>21807.75</v>
      </c>
      <c r="AO24" s="270">
        <v>1850</v>
      </c>
      <c r="AP24" s="65">
        <v>1692</v>
      </c>
      <c r="AQ24" s="65">
        <v>2463</v>
      </c>
      <c r="AR24" s="65">
        <v>4538</v>
      </c>
      <c r="AS24" s="65">
        <v>5738</v>
      </c>
      <c r="AT24" s="196"/>
      <c r="AU24" s="66">
        <v>1002.98</v>
      </c>
      <c r="AV24" s="276">
        <f t="shared" ref="AV24:BA26" si="59">AO24/AH24</f>
        <v>0.16636690647482014</v>
      </c>
      <c r="AW24" s="67">
        <f t="shared" si="59"/>
        <v>0.11747552593209748</v>
      </c>
      <c r="AX24" s="67">
        <f t="shared" si="59"/>
        <v>0.16535750251762335</v>
      </c>
      <c r="AY24" s="67">
        <f t="shared" si="59"/>
        <v>0.20375359195402298</v>
      </c>
      <c r="AZ24" s="67">
        <f t="shared" si="59"/>
        <v>0.24384854022353492</v>
      </c>
      <c r="BA24" s="190"/>
      <c r="BB24" s="68">
        <f t="shared" si="7"/>
        <v>4.5991906546984443E-2</v>
      </c>
      <c r="BC24" s="276" t="s">
        <v>226</v>
      </c>
      <c r="BD24" s="69">
        <f t="shared" ref="BD24:BF24" si="60">(AW24-$AV24)*100</f>
        <v>-4.8891380542722658</v>
      </c>
      <c r="BE24" s="69">
        <f t="shared" si="60"/>
        <v>-0.10094039571967861</v>
      </c>
      <c r="BF24" s="69">
        <f t="shared" si="60"/>
        <v>3.7386685479202848</v>
      </c>
      <c r="BG24" s="69">
        <f>(AZ24-$AV24)*100</f>
        <v>7.7481633748714778</v>
      </c>
      <c r="BH24" s="199"/>
      <c r="BI24" s="70">
        <f t="shared" si="28"/>
        <v>-12.03749999278357</v>
      </c>
      <c r="BJ24" s="60" t="s">
        <v>226</v>
      </c>
      <c r="BK24" s="71">
        <f t="shared" ref="BK24:BM26" si="61">(AW24-AV24)*100</f>
        <v>-4.8891380542722658</v>
      </c>
      <c r="BL24" s="71">
        <f t="shared" si="61"/>
        <v>4.7881976585525869</v>
      </c>
      <c r="BM24" s="71">
        <f t="shared" si="61"/>
        <v>3.8396089436399632</v>
      </c>
      <c r="BN24" s="71">
        <f t="shared" si="50"/>
        <v>4.009494826951193</v>
      </c>
      <c r="BO24" s="200"/>
      <c r="BP24" s="72"/>
      <c r="BQ24" s="276">
        <f t="shared" ref="BQ24:BR24" si="62">T24/M24</f>
        <v>0.5</v>
      </c>
      <c r="BR24" s="67">
        <f t="shared" si="62"/>
        <v>0</v>
      </c>
      <c r="BS24" s="67">
        <f>V24/O24</f>
        <v>0</v>
      </c>
      <c r="BT24" s="190"/>
      <c r="BU24" s="68">
        <f t="shared" si="12"/>
        <v>0</v>
      </c>
      <c r="BV24" s="175"/>
      <c r="BW24" s="73"/>
    </row>
    <row r="25" spans="1:75" s="22" customFormat="1" x14ac:dyDescent="0.25">
      <c r="A25" s="13">
        <v>25</v>
      </c>
      <c r="B25" s="59" t="s">
        <v>305</v>
      </c>
      <c r="C25" s="60">
        <v>0</v>
      </c>
      <c r="D25" s="61">
        <v>0</v>
      </c>
      <c r="E25" s="61">
        <v>0</v>
      </c>
      <c r="F25" s="145"/>
      <c r="G25" s="62">
        <v>0</v>
      </c>
      <c r="H25" s="60">
        <v>114</v>
      </c>
      <c r="I25" s="61">
        <v>116</v>
      </c>
      <c r="J25" s="61">
        <v>115</v>
      </c>
      <c r="K25" s="145"/>
      <c r="L25" s="62">
        <v>116</v>
      </c>
      <c r="M25" s="60">
        <v>91</v>
      </c>
      <c r="N25" s="61">
        <v>100</v>
      </c>
      <c r="O25" s="61">
        <v>120</v>
      </c>
      <c r="P25" s="145"/>
      <c r="Q25" s="62">
        <v>34</v>
      </c>
      <c r="R25" s="60">
        <v>0</v>
      </c>
      <c r="S25" s="61">
        <v>0</v>
      </c>
      <c r="T25" s="61">
        <v>0</v>
      </c>
      <c r="U25" s="61">
        <v>0</v>
      </c>
      <c r="V25" s="61">
        <v>0</v>
      </c>
      <c r="W25" s="145"/>
      <c r="X25" s="62">
        <v>1</v>
      </c>
      <c r="Y25" s="60" t="s">
        <v>307</v>
      </c>
      <c r="Z25" s="63" t="s">
        <v>308</v>
      </c>
      <c r="AA25" s="61" t="s">
        <v>309</v>
      </c>
      <c r="AB25" s="145" t="s">
        <v>310</v>
      </c>
      <c r="AC25" s="61" t="s">
        <v>310</v>
      </c>
      <c r="AD25" s="91">
        <v>0.72</v>
      </c>
      <c r="AE25" s="61">
        <v>0.72</v>
      </c>
      <c r="AF25" s="152"/>
      <c r="AG25" s="61" t="s">
        <v>310</v>
      </c>
      <c r="AH25" s="270">
        <v>12027</v>
      </c>
      <c r="AI25" s="65">
        <v>12468</v>
      </c>
      <c r="AJ25" s="65">
        <v>15969</v>
      </c>
      <c r="AK25" s="65">
        <v>22239</v>
      </c>
      <c r="AL25" s="65">
        <v>30446</v>
      </c>
      <c r="AM25" s="196"/>
      <c r="AN25" s="66">
        <v>32552</v>
      </c>
      <c r="AO25" s="270">
        <v>0</v>
      </c>
      <c r="AP25" s="65">
        <v>2608</v>
      </c>
      <c r="AQ25" s="65">
        <v>3751</v>
      </c>
      <c r="AR25" s="65">
        <v>4512</v>
      </c>
      <c r="AS25" s="65">
        <v>3863</v>
      </c>
      <c r="AT25" s="196"/>
      <c r="AU25" s="66">
        <v>11401</v>
      </c>
      <c r="AV25" s="276">
        <f t="shared" si="59"/>
        <v>0</v>
      </c>
      <c r="AW25" s="67">
        <f t="shared" si="59"/>
        <v>0.20917548925248636</v>
      </c>
      <c r="AX25" s="67">
        <f t="shared" si="59"/>
        <v>0.23489260442106583</v>
      </c>
      <c r="AY25" s="67">
        <f t="shared" si="59"/>
        <v>0.20288682045055983</v>
      </c>
      <c r="AZ25" s="67">
        <f t="shared" si="59"/>
        <v>0.12688037837482757</v>
      </c>
      <c r="BA25" s="190"/>
      <c r="BB25" s="68">
        <f t="shared" si="7"/>
        <v>0.35023961661341851</v>
      </c>
      <c r="BC25" s="276"/>
      <c r="BD25" s="69"/>
      <c r="BE25" s="69"/>
      <c r="BF25" s="69"/>
      <c r="BG25" s="69"/>
      <c r="BH25" s="199"/>
      <c r="BI25" s="70"/>
      <c r="BJ25" s="60"/>
      <c r="BK25" s="71">
        <f t="shared" si="61"/>
        <v>20.917548925248635</v>
      </c>
      <c r="BL25" s="71">
        <f t="shared" si="61"/>
        <v>2.5717115168579467</v>
      </c>
      <c r="BM25" s="71">
        <f t="shared" si="61"/>
        <v>-3.2005783970505992</v>
      </c>
      <c r="BN25" s="71">
        <f t="shared" si="50"/>
        <v>-7.6006442075732261</v>
      </c>
      <c r="BO25" s="200"/>
      <c r="BP25" s="72"/>
      <c r="BQ25" s="276">
        <f>T25/M25</f>
        <v>0</v>
      </c>
      <c r="BR25" s="67">
        <f>U25/N25</f>
        <v>0</v>
      </c>
      <c r="BS25" s="67">
        <f>V25/O25</f>
        <v>0</v>
      </c>
      <c r="BT25" s="190"/>
      <c r="BU25" s="68">
        <f t="shared" si="12"/>
        <v>2.9411764705882353E-2</v>
      </c>
      <c r="BV25" s="175"/>
      <c r="BW25" s="73"/>
    </row>
    <row r="26" spans="1:75" x14ac:dyDescent="0.25">
      <c r="A26" s="13">
        <v>26</v>
      </c>
      <c r="B26" s="59" t="s">
        <v>289</v>
      </c>
      <c r="C26" s="60">
        <v>107</v>
      </c>
      <c r="D26" s="61">
        <v>107</v>
      </c>
      <c r="E26" s="61">
        <v>107</v>
      </c>
      <c r="F26" s="145">
        <v>107</v>
      </c>
      <c r="G26" s="62">
        <v>108</v>
      </c>
      <c r="H26" s="60">
        <v>14</v>
      </c>
      <c r="I26" s="61">
        <v>15</v>
      </c>
      <c r="J26" s="61">
        <v>15</v>
      </c>
      <c r="K26" s="145">
        <v>62</v>
      </c>
      <c r="L26" s="62">
        <v>54</v>
      </c>
      <c r="M26" s="60">
        <v>0</v>
      </c>
      <c r="N26" s="61">
        <v>0</v>
      </c>
      <c r="O26" s="61">
        <v>0</v>
      </c>
      <c r="P26" s="145">
        <v>20</v>
      </c>
      <c r="Q26" s="62">
        <v>26</v>
      </c>
      <c r="R26" s="60">
        <v>0</v>
      </c>
      <c r="S26" s="61">
        <v>0</v>
      </c>
      <c r="T26" s="61">
        <v>0</v>
      </c>
      <c r="U26" s="61">
        <v>0</v>
      </c>
      <c r="V26" s="61">
        <v>0</v>
      </c>
      <c r="W26" s="145">
        <v>2</v>
      </c>
      <c r="X26" s="62">
        <v>6</v>
      </c>
      <c r="Y26" s="60">
        <v>26.29</v>
      </c>
      <c r="Z26" s="63">
        <v>27.5</v>
      </c>
      <c r="AA26" s="61">
        <v>34.65</v>
      </c>
      <c r="AB26" s="145">
        <v>37.93</v>
      </c>
      <c r="AC26" s="61">
        <v>38.46</v>
      </c>
      <c r="AD26" s="91"/>
      <c r="AE26" s="61"/>
      <c r="AF26" s="152">
        <v>36.799999999999997</v>
      </c>
      <c r="AG26" s="64">
        <v>39.270000000000003</v>
      </c>
      <c r="AH26" s="270">
        <v>868977</v>
      </c>
      <c r="AI26" s="65">
        <v>848053</v>
      </c>
      <c r="AJ26" s="65">
        <v>1112933</v>
      </c>
      <c r="AK26" s="65">
        <v>1423181</v>
      </c>
      <c r="AL26" s="65">
        <v>1172151</v>
      </c>
      <c r="AM26" s="196">
        <v>1400014</v>
      </c>
      <c r="AN26" s="66">
        <v>1380229</v>
      </c>
      <c r="AO26" s="270">
        <v>24626</v>
      </c>
      <c r="AP26" s="65">
        <v>15328</v>
      </c>
      <c r="AQ26" s="65">
        <v>29585</v>
      </c>
      <c r="AR26" s="65">
        <v>79653</v>
      </c>
      <c r="AS26" s="65">
        <v>95355</v>
      </c>
      <c r="AT26" s="196">
        <v>86629</v>
      </c>
      <c r="AU26" s="66">
        <v>139162</v>
      </c>
      <c r="AV26" s="276">
        <f t="shared" si="59"/>
        <v>2.8339069963877063E-2</v>
      </c>
      <c r="AW26" s="67">
        <f t="shared" si="59"/>
        <v>1.8074342051734974E-2</v>
      </c>
      <c r="AX26" s="67">
        <f t="shared" si="59"/>
        <v>2.6582911999194919E-2</v>
      </c>
      <c r="AY26" s="67">
        <f t="shared" si="59"/>
        <v>5.596828513028209E-2</v>
      </c>
      <c r="AZ26" s="67">
        <f t="shared" si="59"/>
        <v>8.1350440344290106E-2</v>
      </c>
      <c r="BA26" s="190">
        <f t="shared" si="59"/>
        <v>6.1877238370473438E-2</v>
      </c>
      <c r="BB26" s="68">
        <f t="shared" si="7"/>
        <v>0.1008252978310121</v>
      </c>
      <c r="BC26" s="276" t="s">
        <v>226</v>
      </c>
      <c r="BD26" s="69">
        <f t="shared" ref="BD26:BF26" si="63">(AW26-$AV26)*100</f>
        <v>-1.0264727912142089</v>
      </c>
      <c r="BE26" s="69">
        <f t="shared" si="63"/>
        <v>-0.17561579646821446</v>
      </c>
      <c r="BF26" s="69">
        <f t="shared" si="63"/>
        <v>2.7629215166405028</v>
      </c>
      <c r="BG26" s="69">
        <f>(AZ26-$AV26)*100</f>
        <v>5.3011370380413041</v>
      </c>
      <c r="BH26" s="199">
        <f t="shared" ref="BH26:BI26" si="64">(BA26-$AV26)*100</f>
        <v>3.3538168406596376</v>
      </c>
      <c r="BI26" s="70">
        <f t="shared" si="64"/>
        <v>7.2486227867135042</v>
      </c>
      <c r="BJ26" s="60" t="s">
        <v>226</v>
      </c>
      <c r="BK26" s="71">
        <f t="shared" si="61"/>
        <v>-1.0264727912142089</v>
      </c>
      <c r="BL26" s="71">
        <f t="shared" si="61"/>
        <v>0.85085699474599441</v>
      </c>
      <c r="BM26" s="71">
        <f t="shared" si="61"/>
        <v>2.9385373131087174</v>
      </c>
      <c r="BN26" s="71">
        <f t="shared" si="50"/>
        <v>2.5382155214008018</v>
      </c>
      <c r="BO26" s="200">
        <f t="shared" ref="BO26:BP26" si="65">(BA26-AZ26)*100</f>
        <v>-1.947320197381667</v>
      </c>
      <c r="BP26" s="72">
        <f t="shared" si="65"/>
        <v>3.8948059460538662</v>
      </c>
      <c r="BQ26" s="276"/>
      <c r="BR26" s="67"/>
      <c r="BS26" s="67"/>
      <c r="BT26" s="67">
        <f t="shared" ref="BT26:BU26" si="66">W26/P26</f>
        <v>0.1</v>
      </c>
      <c r="BU26" s="175">
        <f t="shared" si="66"/>
        <v>0.23076923076923078</v>
      </c>
      <c r="BV26" s="175">
        <f t="shared" ref="BV26" si="67">(AG26-AF26)/AF26</f>
        <v>6.7119565217391472E-2</v>
      </c>
      <c r="BW26" s="73">
        <f t="shared" ref="BW26" si="68">(Q26-P26)/P26</f>
        <v>0.3</v>
      </c>
    </row>
    <row r="27" spans="1:75" x14ac:dyDescent="0.25">
      <c r="A27" s="13">
        <v>28</v>
      </c>
      <c r="B27" s="59" t="s">
        <v>349</v>
      </c>
      <c r="C27" s="60"/>
      <c r="D27" s="61"/>
      <c r="E27" s="61"/>
      <c r="F27" s="145">
        <v>4</v>
      </c>
      <c r="G27" s="62"/>
      <c r="H27" s="60"/>
      <c r="I27" s="61"/>
      <c r="J27" s="61"/>
      <c r="K27" s="145">
        <v>4</v>
      </c>
      <c r="L27" s="62"/>
      <c r="M27" s="60"/>
      <c r="N27" s="61"/>
      <c r="O27" s="61"/>
      <c r="P27" s="145">
        <v>2</v>
      </c>
      <c r="Q27" s="62"/>
      <c r="R27" s="60"/>
      <c r="S27" s="61"/>
      <c r="T27" s="61"/>
      <c r="U27" s="61"/>
      <c r="V27" s="61"/>
      <c r="W27" s="145">
        <v>0</v>
      </c>
      <c r="X27" s="62"/>
      <c r="Y27" s="60"/>
      <c r="Z27" s="61"/>
      <c r="AA27" s="61"/>
      <c r="AB27" s="145"/>
      <c r="AC27" s="61"/>
      <c r="AD27" s="61"/>
      <c r="AE27" s="61"/>
      <c r="AF27" s="63">
        <v>47.9</v>
      </c>
      <c r="AG27" s="64"/>
      <c r="AH27" s="270"/>
      <c r="AI27" s="65"/>
      <c r="AJ27" s="65"/>
      <c r="AK27" s="65"/>
      <c r="AL27" s="65"/>
      <c r="AM27" s="196">
        <v>1094.3800000000001</v>
      </c>
      <c r="AN27" s="66"/>
      <c r="AO27" s="270"/>
      <c r="AP27" s="65"/>
      <c r="AQ27" s="65"/>
      <c r="AR27" s="65"/>
      <c r="AS27" s="65"/>
      <c r="AT27" s="196">
        <v>648.26</v>
      </c>
      <c r="AU27" s="66"/>
      <c r="AV27" s="276"/>
      <c r="AW27" s="67"/>
      <c r="AX27" s="67"/>
      <c r="AY27" s="67"/>
      <c r="AZ27" s="67"/>
      <c r="BA27" s="190">
        <v>0.59</v>
      </c>
      <c r="BB27" s="190"/>
      <c r="BC27" s="276"/>
      <c r="BD27" s="69"/>
      <c r="BE27" s="69"/>
      <c r="BF27" s="69"/>
      <c r="BG27" s="69"/>
      <c r="BH27" s="199"/>
      <c r="BI27" s="70"/>
      <c r="BJ27" s="60"/>
      <c r="BK27" s="71"/>
      <c r="BL27" s="71"/>
      <c r="BM27" s="71"/>
      <c r="BN27" s="71"/>
      <c r="BO27" s="200"/>
      <c r="BP27" s="200"/>
      <c r="BQ27" s="276"/>
      <c r="BR27" s="67"/>
      <c r="BS27" s="67"/>
      <c r="BT27" s="67">
        <f t="shared" ref="BT27:BT30" si="69">W27/P27</f>
        <v>0</v>
      </c>
      <c r="BU27" s="68"/>
      <c r="BV27" s="175"/>
      <c r="BW27" s="73"/>
    </row>
    <row r="28" spans="1:75" x14ac:dyDescent="0.25">
      <c r="A28" s="13">
        <v>29</v>
      </c>
      <c r="B28" s="59" t="s">
        <v>312</v>
      </c>
      <c r="C28" s="60">
        <v>0</v>
      </c>
      <c r="D28" s="61">
        <v>0</v>
      </c>
      <c r="E28" s="61">
        <v>0</v>
      </c>
      <c r="F28" s="145">
        <v>0</v>
      </c>
      <c r="G28" s="62">
        <v>0</v>
      </c>
      <c r="H28" s="60">
        <v>150</v>
      </c>
      <c r="I28" s="61">
        <v>150</v>
      </c>
      <c r="J28" s="61">
        <v>150</v>
      </c>
      <c r="K28" s="145">
        <v>152</v>
      </c>
      <c r="L28" s="62">
        <v>152</v>
      </c>
      <c r="M28" s="60">
        <v>28</v>
      </c>
      <c r="N28" s="61">
        <v>23</v>
      </c>
      <c r="O28" s="61">
        <v>16</v>
      </c>
      <c r="P28" s="145">
        <v>19</v>
      </c>
      <c r="Q28" s="62">
        <v>15</v>
      </c>
      <c r="R28" s="60">
        <v>2</v>
      </c>
      <c r="S28" s="61">
        <v>0</v>
      </c>
      <c r="T28" s="61">
        <v>2</v>
      </c>
      <c r="U28" s="61">
        <v>0</v>
      </c>
      <c r="V28" s="61">
        <v>0</v>
      </c>
      <c r="W28" s="145">
        <v>0</v>
      </c>
      <c r="X28" s="62">
        <v>0</v>
      </c>
      <c r="Y28" s="60">
        <v>28.93</v>
      </c>
      <c r="Z28" s="61">
        <v>28.93</v>
      </c>
      <c r="AA28" s="63">
        <v>32.5</v>
      </c>
      <c r="AB28" s="145">
        <v>30.45</v>
      </c>
      <c r="AC28" s="61">
        <v>30.45</v>
      </c>
      <c r="AD28" s="91"/>
      <c r="AE28" s="61"/>
      <c r="AF28" s="145">
        <v>30.45</v>
      </c>
      <c r="AG28" s="145">
        <v>30.45</v>
      </c>
      <c r="AH28" s="270">
        <v>28857</v>
      </c>
      <c r="AI28" s="65">
        <v>32630</v>
      </c>
      <c r="AJ28" s="65">
        <v>46013</v>
      </c>
      <c r="AK28" s="65">
        <v>63488</v>
      </c>
      <c r="AL28" s="65">
        <v>41388</v>
      </c>
      <c r="AM28" s="196">
        <v>56795.16</v>
      </c>
      <c r="AN28" s="66">
        <v>104601.87</v>
      </c>
      <c r="AO28" s="270">
        <v>4077</v>
      </c>
      <c r="AP28" s="65">
        <v>581</v>
      </c>
      <c r="AQ28" s="65">
        <v>2306</v>
      </c>
      <c r="AR28" s="65">
        <v>1316</v>
      </c>
      <c r="AS28" s="65">
        <v>2219</v>
      </c>
      <c r="AT28" s="196">
        <v>5366.93</v>
      </c>
      <c r="AU28" s="66">
        <v>2054.87</v>
      </c>
      <c r="AV28" s="276">
        <f>AO28/AH28</f>
        <v>0.14128287763800812</v>
      </c>
      <c r="AW28" s="67">
        <f>AP28/AI28</f>
        <v>1.7805700275819798E-2</v>
      </c>
      <c r="AX28" s="67">
        <f>AQ28/AJ28</f>
        <v>5.0116271488492382E-2</v>
      </c>
      <c r="AY28" s="67">
        <f t="shared" ref="AY28:BA30" si="70">AR28/AK28</f>
        <v>2.0728326612903226E-2</v>
      </c>
      <c r="AZ28" s="67">
        <f t="shared" si="70"/>
        <v>5.3614574272736061E-2</v>
      </c>
      <c r="BA28" s="190">
        <f t="shared" si="70"/>
        <v>9.4496256371141479E-2</v>
      </c>
      <c r="BB28" s="68">
        <f t="shared" si="7"/>
        <v>1.9644677480431277E-2</v>
      </c>
      <c r="BC28" s="276"/>
      <c r="BD28" s="69">
        <f>(AW28-$AV28)*100</f>
        <v>-12.347717736218833</v>
      </c>
      <c r="BE28" s="69">
        <f>(AX28-$AV28)*100</f>
        <v>-9.1166606149515736</v>
      </c>
      <c r="BF28" s="69">
        <f>(AY28-$AV28)*100</f>
        <v>-12.055455102510489</v>
      </c>
      <c r="BG28" s="69">
        <f>(AZ28-$AV28)*100</f>
        <v>-8.7668303365272067</v>
      </c>
      <c r="BH28" s="199">
        <f t="shared" ref="BH28" si="71">(BA28-$AV28)*100</f>
        <v>-4.6786621266866639</v>
      </c>
      <c r="BI28" s="70">
        <f t="shared" si="28"/>
        <v>-12.163820015757684</v>
      </c>
      <c r="BJ28" s="60"/>
      <c r="BK28" s="71">
        <f>(AW28-AV28)*100</f>
        <v>-12.347717736218833</v>
      </c>
      <c r="BL28" s="71">
        <f>(AX28-AW28)*100</f>
        <v>3.2310571212672583</v>
      </c>
      <c r="BM28" s="71">
        <f>(AY28-AX28)*100</f>
        <v>-2.9387944875589156</v>
      </c>
      <c r="BN28" s="71">
        <f>(AZ28-AY28)*100</f>
        <v>3.2886247659832835</v>
      </c>
      <c r="BO28" s="200">
        <f t="shared" ref="BO28" si="72">(BA28-AZ28)*100</f>
        <v>4.0881682098405419</v>
      </c>
      <c r="BP28" s="72">
        <f t="shared" si="56"/>
        <v>-7.4851578890710204</v>
      </c>
      <c r="BQ28" s="276">
        <f>T28/M28</f>
        <v>7.1428571428571425E-2</v>
      </c>
      <c r="BR28" s="67">
        <f t="shared" ref="BR28:BS28" si="73">U28/N28</f>
        <v>0</v>
      </c>
      <c r="BS28" s="67">
        <f t="shared" si="73"/>
        <v>0</v>
      </c>
      <c r="BT28" s="190">
        <f t="shared" si="69"/>
        <v>0</v>
      </c>
      <c r="BU28" s="68">
        <f t="shared" si="12"/>
        <v>0</v>
      </c>
      <c r="BV28" s="175">
        <f t="shared" si="13"/>
        <v>0</v>
      </c>
      <c r="BW28" s="73">
        <f t="shared" si="14"/>
        <v>-0.21052631578947367</v>
      </c>
    </row>
    <row r="29" spans="1:75" x14ac:dyDescent="0.25">
      <c r="A29" s="13">
        <v>29</v>
      </c>
      <c r="B29" s="59" t="s">
        <v>325</v>
      </c>
      <c r="C29" s="60"/>
      <c r="D29" s="61"/>
      <c r="E29" s="61"/>
      <c r="F29" s="145">
        <v>3</v>
      </c>
      <c r="G29" s="62">
        <v>0</v>
      </c>
      <c r="H29" s="60"/>
      <c r="I29" s="61"/>
      <c r="J29" s="61"/>
      <c r="K29" s="145">
        <v>66</v>
      </c>
      <c r="L29" s="62">
        <v>66</v>
      </c>
      <c r="M29" s="60"/>
      <c r="N29" s="61"/>
      <c r="O29" s="61"/>
      <c r="P29" s="145">
        <v>13</v>
      </c>
      <c r="Q29" s="62">
        <v>11</v>
      </c>
      <c r="R29" s="60"/>
      <c r="S29" s="61"/>
      <c r="T29" s="61"/>
      <c r="U29" s="61"/>
      <c r="V29" s="61"/>
      <c r="W29" s="145">
        <v>3</v>
      </c>
      <c r="X29" s="62">
        <v>0</v>
      </c>
      <c r="Y29" s="60"/>
      <c r="Z29" s="61"/>
      <c r="AA29" s="61"/>
      <c r="AB29" s="145"/>
      <c r="AC29" s="61"/>
      <c r="AD29" s="91"/>
      <c r="AE29" s="61"/>
      <c r="AF29" s="152">
        <v>26.21</v>
      </c>
      <c r="AG29" s="64">
        <v>28.78</v>
      </c>
      <c r="AH29" s="270"/>
      <c r="AI29" s="65"/>
      <c r="AJ29" s="65"/>
      <c r="AK29" s="65"/>
      <c r="AL29" s="65"/>
      <c r="AM29" s="196">
        <v>21154.74</v>
      </c>
      <c r="AN29" s="66">
        <v>20880.009999999998</v>
      </c>
      <c r="AO29" s="270"/>
      <c r="AP29" s="65"/>
      <c r="AQ29" s="65"/>
      <c r="AR29" s="65"/>
      <c r="AS29" s="65"/>
      <c r="AT29" s="196">
        <v>4774.12</v>
      </c>
      <c r="AU29" s="66">
        <v>1420.34</v>
      </c>
      <c r="AV29" s="276"/>
      <c r="AW29" s="67"/>
      <c r="AX29" s="67"/>
      <c r="AY29" s="67"/>
      <c r="AZ29" s="67"/>
      <c r="BA29" s="190">
        <f t="shared" si="70"/>
        <v>0.22567613688468871</v>
      </c>
      <c r="BB29" s="68">
        <f t="shared" si="7"/>
        <v>6.8023913781650486E-2</v>
      </c>
      <c r="BC29" s="276"/>
      <c r="BD29" s="69"/>
      <c r="BE29" s="69"/>
      <c r="BF29" s="69"/>
      <c r="BG29" s="69"/>
      <c r="BH29" s="199"/>
      <c r="BI29" s="70"/>
      <c r="BJ29" s="60"/>
      <c r="BK29" s="71"/>
      <c r="BL29" s="71"/>
      <c r="BM29" s="71"/>
      <c r="BN29" s="71"/>
      <c r="BO29" s="200"/>
      <c r="BP29" s="72">
        <f t="shared" si="56"/>
        <v>-15.765222310303823</v>
      </c>
      <c r="BQ29" s="276"/>
      <c r="BR29" s="67"/>
      <c r="BS29" s="67"/>
      <c r="BT29" s="190">
        <f t="shared" si="69"/>
        <v>0.23076923076923078</v>
      </c>
      <c r="BU29" s="68">
        <f t="shared" si="12"/>
        <v>0</v>
      </c>
      <c r="BV29" s="175">
        <f t="shared" si="13"/>
        <v>9.805417779473484E-2</v>
      </c>
      <c r="BW29" s="73">
        <f t="shared" si="14"/>
        <v>-0.15384615384615385</v>
      </c>
    </row>
    <row r="30" spans="1:75" x14ac:dyDescent="0.25">
      <c r="A30" s="13">
        <v>29</v>
      </c>
      <c r="B30" s="59" t="s">
        <v>326</v>
      </c>
      <c r="C30" s="60"/>
      <c r="D30" s="61"/>
      <c r="E30" s="61"/>
      <c r="F30" s="145">
        <v>5</v>
      </c>
      <c r="G30" s="62">
        <v>5</v>
      </c>
      <c r="H30" s="60"/>
      <c r="I30" s="61"/>
      <c r="J30" s="61"/>
      <c r="K30" s="145">
        <v>113</v>
      </c>
      <c r="L30" s="62">
        <v>114</v>
      </c>
      <c r="M30" s="60"/>
      <c r="N30" s="61"/>
      <c r="O30" s="61"/>
      <c r="P30" s="145">
        <v>25</v>
      </c>
      <c r="Q30" s="62">
        <v>32</v>
      </c>
      <c r="R30" s="60"/>
      <c r="S30" s="61"/>
      <c r="T30" s="61"/>
      <c r="U30" s="61"/>
      <c r="V30" s="61"/>
      <c r="W30" s="145">
        <v>8</v>
      </c>
      <c r="X30" s="62">
        <v>0</v>
      </c>
      <c r="Y30" s="60"/>
      <c r="Z30" s="61"/>
      <c r="AA30" s="61"/>
      <c r="AB30" s="145"/>
      <c r="AC30" s="61"/>
      <c r="AD30" s="91"/>
      <c r="AE30" s="61"/>
      <c r="AF30" s="152">
        <v>36.119999999999997</v>
      </c>
      <c r="AG30" s="64">
        <v>37.299999999999997</v>
      </c>
      <c r="AH30" s="270"/>
      <c r="AI30" s="65"/>
      <c r="AJ30" s="65"/>
      <c r="AK30" s="65"/>
      <c r="AL30" s="65"/>
      <c r="AM30" s="196">
        <v>47667.22</v>
      </c>
      <c r="AN30" s="66">
        <v>42484.84</v>
      </c>
      <c r="AO30" s="270"/>
      <c r="AP30" s="65"/>
      <c r="AQ30" s="65"/>
      <c r="AR30" s="65"/>
      <c r="AS30" s="65"/>
      <c r="AT30" s="196">
        <v>15651.01</v>
      </c>
      <c r="AU30" s="66">
        <v>5416.16</v>
      </c>
      <c r="AV30" s="276"/>
      <c r="AW30" s="67"/>
      <c r="AX30" s="67"/>
      <c r="AY30" s="67"/>
      <c r="AZ30" s="67"/>
      <c r="BA30" s="190">
        <f t="shared" si="70"/>
        <v>0.32833905564452887</v>
      </c>
      <c r="BB30" s="68">
        <f t="shared" si="7"/>
        <v>0.12748453330646886</v>
      </c>
      <c r="BC30" s="276"/>
      <c r="BD30" s="69"/>
      <c r="BE30" s="69"/>
      <c r="BF30" s="69"/>
      <c r="BG30" s="69"/>
      <c r="BH30" s="199"/>
      <c r="BI30" s="70"/>
      <c r="BJ30" s="60"/>
      <c r="BK30" s="71"/>
      <c r="BL30" s="71"/>
      <c r="BM30" s="71"/>
      <c r="BN30" s="71"/>
      <c r="BO30" s="200"/>
      <c r="BP30" s="72">
        <f t="shared" si="56"/>
        <v>-20.085452233806002</v>
      </c>
      <c r="BQ30" s="276"/>
      <c r="BR30" s="67"/>
      <c r="BS30" s="67"/>
      <c r="BT30" s="190">
        <f t="shared" si="69"/>
        <v>0.32</v>
      </c>
      <c r="BU30" s="68">
        <f t="shared" si="12"/>
        <v>0</v>
      </c>
      <c r="BV30" s="175">
        <f t="shared" si="13"/>
        <v>3.2668881506090805E-2</v>
      </c>
      <c r="BW30" s="73">
        <f t="shared" si="14"/>
        <v>0.28000000000000003</v>
      </c>
    </row>
    <row r="31" spans="1:75" x14ac:dyDescent="0.25">
      <c r="A31" s="13">
        <v>28</v>
      </c>
      <c r="B31" s="59" t="s">
        <v>414</v>
      </c>
      <c r="C31" s="60"/>
      <c r="D31" s="61"/>
      <c r="E31" s="61"/>
      <c r="F31" s="145"/>
      <c r="G31" s="62">
        <v>2</v>
      </c>
      <c r="H31" s="60"/>
      <c r="I31" s="61"/>
      <c r="J31" s="61"/>
      <c r="K31" s="145"/>
      <c r="L31" s="62">
        <v>58</v>
      </c>
      <c r="M31" s="60"/>
      <c r="N31" s="61"/>
      <c r="O31" s="61"/>
      <c r="P31" s="145"/>
      <c r="Q31" s="62">
        <v>9</v>
      </c>
      <c r="R31" s="60"/>
      <c r="S31" s="61"/>
      <c r="T31" s="61"/>
      <c r="U31" s="61"/>
      <c r="V31" s="61"/>
      <c r="W31" s="145"/>
      <c r="X31" s="62">
        <v>0</v>
      </c>
      <c r="Y31" s="60"/>
      <c r="Z31" s="61"/>
      <c r="AA31" s="61"/>
      <c r="AB31" s="145"/>
      <c r="AC31" s="61"/>
      <c r="AD31" s="91"/>
      <c r="AE31" s="61"/>
      <c r="AF31" s="152"/>
      <c r="AG31" s="64">
        <v>47.15</v>
      </c>
      <c r="AH31" s="270"/>
      <c r="AI31" s="65"/>
      <c r="AJ31" s="65"/>
      <c r="AK31" s="65"/>
      <c r="AL31" s="65"/>
      <c r="AM31" s="196"/>
      <c r="AN31" s="66">
        <v>11147</v>
      </c>
      <c r="AO31" s="270"/>
      <c r="AP31" s="65"/>
      <c r="AQ31" s="65"/>
      <c r="AR31" s="65"/>
      <c r="AS31" s="65"/>
      <c r="AT31" s="196"/>
      <c r="AU31" s="66">
        <v>2282</v>
      </c>
      <c r="AV31" s="276"/>
      <c r="AW31" s="67"/>
      <c r="AX31" s="67"/>
      <c r="AY31" s="67"/>
      <c r="AZ31" s="67"/>
      <c r="BA31" s="190"/>
      <c r="BB31" s="68">
        <f t="shared" si="7"/>
        <v>0.20471875841033463</v>
      </c>
      <c r="BC31" s="276"/>
      <c r="BD31" s="69"/>
      <c r="BE31" s="69"/>
      <c r="BF31" s="69"/>
      <c r="BG31" s="69"/>
      <c r="BH31" s="199"/>
      <c r="BI31" s="70"/>
      <c r="BJ31" s="60"/>
      <c r="BK31" s="71"/>
      <c r="BL31" s="71"/>
      <c r="BM31" s="71"/>
      <c r="BN31" s="71"/>
      <c r="BO31" s="200"/>
      <c r="BP31" s="72"/>
      <c r="BQ31" s="276"/>
      <c r="BR31" s="67"/>
      <c r="BS31" s="67"/>
      <c r="BT31" s="190"/>
      <c r="BU31" s="68">
        <f t="shared" si="12"/>
        <v>0</v>
      </c>
      <c r="BV31" s="175"/>
      <c r="BW31" s="73"/>
    </row>
    <row r="32" spans="1:75" x14ac:dyDescent="0.25">
      <c r="A32" s="13">
        <v>28</v>
      </c>
      <c r="B32" s="59" t="s">
        <v>413</v>
      </c>
      <c r="C32" s="60"/>
      <c r="D32" s="61"/>
      <c r="E32" s="61"/>
      <c r="F32" s="145"/>
      <c r="G32" s="62">
        <v>4</v>
      </c>
      <c r="H32" s="60"/>
      <c r="I32" s="61"/>
      <c r="J32" s="61"/>
      <c r="K32" s="145"/>
      <c r="L32" s="62">
        <v>175</v>
      </c>
      <c r="M32" s="60"/>
      <c r="N32" s="61"/>
      <c r="O32" s="61"/>
      <c r="P32" s="145"/>
      <c r="Q32" s="62">
        <v>81</v>
      </c>
      <c r="R32" s="60"/>
      <c r="S32" s="61"/>
      <c r="T32" s="61"/>
      <c r="U32" s="61"/>
      <c r="V32" s="61"/>
      <c r="W32" s="145"/>
      <c r="X32" s="62">
        <v>3</v>
      </c>
      <c r="Y32" s="60"/>
      <c r="Z32" s="61"/>
      <c r="AA32" s="61"/>
      <c r="AB32" s="145"/>
      <c r="AC32" s="61"/>
      <c r="AD32" s="91"/>
      <c r="AE32" s="61"/>
      <c r="AF32" s="152"/>
      <c r="AG32" s="64">
        <v>47.15</v>
      </c>
      <c r="AH32" s="270"/>
      <c r="AI32" s="65"/>
      <c r="AJ32" s="65"/>
      <c r="AK32" s="65"/>
      <c r="AL32" s="65"/>
      <c r="AM32" s="196"/>
      <c r="AN32" s="66">
        <v>25319</v>
      </c>
      <c r="AO32" s="270"/>
      <c r="AP32" s="65"/>
      <c r="AQ32" s="65"/>
      <c r="AR32" s="65"/>
      <c r="AS32" s="65"/>
      <c r="AT32" s="196"/>
      <c r="AU32" s="66">
        <v>8015</v>
      </c>
      <c r="AV32" s="276"/>
      <c r="AW32" s="67"/>
      <c r="AX32" s="67"/>
      <c r="AY32" s="67"/>
      <c r="AZ32" s="67"/>
      <c r="BA32" s="190"/>
      <c r="BB32" s="68">
        <f t="shared" si="7"/>
        <v>0.31656068565109208</v>
      </c>
      <c r="BC32" s="276"/>
      <c r="BD32" s="69"/>
      <c r="BE32" s="69"/>
      <c r="BF32" s="69"/>
      <c r="BG32" s="69"/>
      <c r="BH32" s="199"/>
      <c r="BI32" s="70"/>
      <c r="BJ32" s="60"/>
      <c r="BK32" s="71"/>
      <c r="BL32" s="71"/>
      <c r="BM32" s="71"/>
      <c r="BN32" s="71"/>
      <c r="BO32" s="200"/>
      <c r="BP32" s="72"/>
      <c r="BQ32" s="276"/>
      <c r="BR32" s="67"/>
      <c r="BS32" s="67"/>
      <c r="BT32" s="190"/>
      <c r="BU32" s="68">
        <f t="shared" si="12"/>
        <v>3.7037037037037035E-2</v>
      </c>
      <c r="BV32" s="175"/>
      <c r="BW32" s="73"/>
    </row>
    <row r="33" spans="1:75" s="22" customFormat="1" x14ac:dyDescent="0.25">
      <c r="A33" s="13">
        <v>30</v>
      </c>
      <c r="B33" s="59" t="s">
        <v>18</v>
      </c>
      <c r="C33" s="60"/>
      <c r="D33" s="61"/>
      <c r="E33" s="61"/>
      <c r="F33" s="145">
        <v>0</v>
      </c>
      <c r="G33" s="62"/>
      <c r="H33" s="60"/>
      <c r="I33" s="61"/>
      <c r="J33" s="61"/>
      <c r="K33" s="145">
        <v>185</v>
      </c>
      <c r="L33" s="62"/>
      <c r="M33" s="60"/>
      <c r="N33" s="61"/>
      <c r="O33" s="61"/>
      <c r="P33" s="145">
        <v>40</v>
      </c>
      <c r="Q33" s="62"/>
      <c r="R33" s="60"/>
      <c r="S33" s="61"/>
      <c r="T33" s="61"/>
      <c r="U33" s="61"/>
      <c r="V33" s="61"/>
      <c r="W33" s="145">
        <v>38</v>
      </c>
      <c r="X33" s="62"/>
      <c r="Y33" s="60"/>
      <c r="Z33" s="61"/>
      <c r="AA33" s="61"/>
      <c r="AB33" s="145"/>
      <c r="AC33" s="61"/>
      <c r="AD33" s="61"/>
      <c r="AE33" s="61"/>
      <c r="AF33" s="63">
        <v>42.42</v>
      </c>
      <c r="AG33" s="64"/>
      <c r="AH33" s="270"/>
      <c r="AI33" s="65"/>
      <c r="AJ33" s="65"/>
      <c r="AK33" s="65"/>
      <c r="AL33" s="65"/>
      <c r="AM33" s="196">
        <v>48991</v>
      </c>
      <c r="AN33" s="66"/>
      <c r="AO33" s="270"/>
      <c r="AP33" s="65"/>
      <c r="AQ33" s="65"/>
      <c r="AR33" s="65"/>
      <c r="AS33" s="65"/>
      <c r="AT33" s="196">
        <v>13349</v>
      </c>
      <c r="AU33" s="66"/>
      <c r="AV33" s="276"/>
      <c r="AW33" s="67"/>
      <c r="AX33" s="67"/>
      <c r="AY33" s="67"/>
      <c r="AZ33" s="67"/>
      <c r="BA33" s="190">
        <v>0.27</v>
      </c>
      <c r="BB33" s="190"/>
      <c r="BC33" s="276" t="s">
        <v>226</v>
      </c>
      <c r="BD33" s="69"/>
      <c r="BE33" s="69"/>
      <c r="BF33" s="69"/>
      <c r="BG33" s="69"/>
      <c r="BH33" s="199"/>
      <c r="BI33" s="70"/>
      <c r="BJ33" s="60" t="s">
        <v>226</v>
      </c>
      <c r="BK33" s="71"/>
      <c r="BL33" s="71"/>
      <c r="BM33" s="71"/>
      <c r="BN33" s="71"/>
      <c r="BO33" s="200"/>
      <c r="BP33" s="200"/>
      <c r="BQ33" s="276"/>
      <c r="BR33" s="67"/>
      <c r="BS33" s="67"/>
      <c r="BT33" s="67">
        <f t="shared" ref="BT33:BT37" si="74">W33/P33</f>
        <v>0.95</v>
      </c>
      <c r="BU33" s="68"/>
      <c r="BV33" s="175"/>
      <c r="BW33" s="73"/>
    </row>
    <row r="34" spans="1:75" s="22" customFormat="1" x14ac:dyDescent="0.25">
      <c r="A34" s="13">
        <v>31</v>
      </c>
      <c r="B34" s="59" t="s">
        <v>19</v>
      </c>
      <c r="C34" s="60"/>
      <c r="D34" s="61"/>
      <c r="E34" s="61"/>
      <c r="F34" s="145">
        <v>0</v>
      </c>
      <c r="G34" s="62"/>
      <c r="H34" s="60"/>
      <c r="I34" s="61"/>
      <c r="J34" s="61"/>
      <c r="K34" s="145">
        <v>127</v>
      </c>
      <c r="L34" s="62"/>
      <c r="M34" s="60"/>
      <c r="N34" s="61"/>
      <c r="O34" s="61"/>
      <c r="P34" s="145">
        <v>30</v>
      </c>
      <c r="Q34" s="62"/>
      <c r="R34" s="60"/>
      <c r="S34" s="61"/>
      <c r="T34" s="61"/>
      <c r="U34" s="61"/>
      <c r="V34" s="61"/>
      <c r="W34" s="145">
        <v>0</v>
      </c>
      <c r="X34" s="62"/>
      <c r="Y34" s="60"/>
      <c r="Z34" s="61"/>
      <c r="AA34" s="61"/>
      <c r="AB34" s="145"/>
      <c r="AC34" s="61"/>
      <c r="AD34" s="61"/>
      <c r="AE34" s="61"/>
      <c r="AF34" s="63">
        <v>38.44</v>
      </c>
      <c r="AG34" s="64"/>
      <c r="AH34" s="270"/>
      <c r="AI34" s="65"/>
      <c r="AJ34" s="65"/>
      <c r="AK34" s="65"/>
      <c r="AL34" s="65"/>
      <c r="AM34" s="196">
        <v>54390.15</v>
      </c>
      <c r="AN34" s="66"/>
      <c r="AO34" s="270"/>
      <c r="AP34" s="65"/>
      <c r="AQ34" s="65"/>
      <c r="AR34" s="65"/>
      <c r="AS34" s="65"/>
      <c r="AT34" s="196">
        <v>7050.45</v>
      </c>
      <c r="AU34" s="66"/>
      <c r="AV34" s="276"/>
      <c r="AW34" s="67"/>
      <c r="AX34" s="67"/>
      <c r="AY34" s="67"/>
      <c r="AZ34" s="67"/>
      <c r="BA34" s="190">
        <v>0.13</v>
      </c>
      <c r="BB34" s="190"/>
      <c r="BC34" s="276" t="s">
        <v>226</v>
      </c>
      <c r="BD34" s="69"/>
      <c r="BE34" s="69"/>
      <c r="BF34" s="69"/>
      <c r="BG34" s="69"/>
      <c r="BH34" s="199"/>
      <c r="BI34" s="70"/>
      <c r="BJ34" s="60" t="s">
        <v>226</v>
      </c>
      <c r="BK34" s="71"/>
      <c r="BL34" s="71"/>
      <c r="BM34" s="71"/>
      <c r="BN34" s="71"/>
      <c r="BO34" s="200"/>
      <c r="BP34" s="200"/>
      <c r="BQ34" s="276"/>
      <c r="BR34" s="67"/>
      <c r="BS34" s="67"/>
      <c r="BT34" s="67">
        <f t="shared" si="74"/>
        <v>0</v>
      </c>
      <c r="BU34" s="68"/>
      <c r="BV34" s="175"/>
      <c r="BW34" s="73"/>
    </row>
    <row r="35" spans="1:75" x14ac:dyDescent="0.25">
      <c r="A35" s="13">
        <v>32</v>
      </c>
      <c r="B35" s="59" t="s">
        <v>290</v>
      </c>
      <c r="C35" s="60">
        <v>22</v>
      </c>
      <c r="D35" s="61">
        <v>22</v>
      </c>
      <c r="E35" s="61">
        <v>22</v>
      </c>
      <c r="F35" s="145">
        <v>23</v>
      </c>
      <c r="G35" s="62"/>
      <c r="H35" s="60">
        <v>12</v>
      </c>
      <c r="I35" s="61">
        <v>12</v>
      </c>
      <c r="J35" s="61">
        <v>12</v>
      </c>
      <c r="K35" s="145">
        <v>0</v>
      </c>
      <c r="L35" s="62"/>
      <c r="M35" s="60">
        <v>21</v>
      </c>
      <c r="N35" s="61">
        <v>13</v>
      </c>
      <c r="O35" s="61">
        <v>11</v>
      </c>
      <c r="P35" s="145">
        <v>112</v>
      </c>
      <c r="Q35" s="62"/>
      <c r="R35" s="60">
        <v>0</v>
      </c>
      <c r="S35" s="61">
        <v>0</v>
      </c>
      <c r="T35" s="61">
        <v>3</v>
      </c>
      <c r="U35" s="61">
        <v>6</v>
      </c>
      <c r="V35" s="61">
        <v>7</v>
      </c>
      <c r="W35" s="145">
        <v>33</v>
      </c>
      <c r="X35" s="62"/>
      <c r="Y35" s="60">
        <v>27.33</v>
      </c>
      <c r="Z35" s="61">
        <v>41.83</v>
      </c>
      <c r="AA35" s="61">
        <v>45.62</v>
      </c>
      <c r="AB35" s="145">
        <v>38.29</v>
      </c>
      <c r="AC35" s="61">
        <v>46.61</v>
      </c>
      <c r="AD35" s="61"/>
      <c r="AE35" s="61"/>
      <c r="AF35" s="63">
        <v>44.95</v>
      </c>
      <c r="AG35" s="64"/>
      <c r="AH35" s="270">
        <v>168386.51</v>
      </c>
      <c r="AI35" s="65">
        <v>164256</v>
      </c>
      <c r="AJ35" s="65">
        <v>326488.96999999997</v>
      </c>
      <c r="AK35" s="65">
        <v>359733</v>
      </c>
      <c r="AL35" s="65">
        <v>305884.65999999997</v>
      </c>
      <c r="AM35" s="196">
        <v>240770.87</v>
      </c>
      <c r="AN35" s="66"/>
      <c r="AO35" s="270">
        <v>0</v>
      </c>
      <c r="AP35" s="65">
        <v>5380.01</v>
      </c>
      <c r="AQ35" s="65">
        <v>11072.43</v>
      </c>
      <c r="AR35" s="65">
        <v>17568.96</v>
      </c>
      <c r="AS35" s="65">
        <v>55311.47</v>
      </c>
      <c r="AT35" s="196">
        <v>15342.22</v>
      </c>
      <c r="AU35" s="66"/>
      <c r="AV35" s="276">
        <f>AO35/AH35</f>
        <v>0</v>
      </c>
      <c r="AW35" s="67">
        <f>AP35/AI35</f>
        <v>3.2753811124098968E-2</v>
      </c>
      <c r="AX35" s="67">
        <f>AQ35/AJ35</f>
        <v>3.3913641860550452E-2</v>
      </c>
      <c r="AY35" s="67">
        <f>AR35/AK35</f>
        <v>4.8838888842558228E-2</v>
      </c>
      <c r="AZ35" s="67">
        <f>AS35/AL35</f>
        <v>0.18082459578064491</v>
      </c>
      <c r="BA35" s="190">
        <v>0.06</v>
      </c>
      <c r="BB35" s="190"/>
      <c r="BC35" s="276" t="s">
        <v>226</v>
      </c>
      <c r="BD35" s="69">
        <f>(AW35-$AV35)*100</f>
        <v>3.2753811124098968</v>
      </c>
      <c r="BE35" s="69">
        <f>(AX35-$AV35)*100</f>
        <v>3.391364186055045</v>
      </c>
      <c r="BF35" s="69">
        <f>(AY35-$AV35)*100</f>
        <v>4.883888884255823</v>
      </c>
      <c r="BG35" s="69">
        <f>(AZ35-$AV35)*100</f>
        <v>18.082459578064491</v>
      </c>
      <c r="BH35" s="199">
        <f>(BA35-$AV35)*100</f>
        <v>6</v>
      </c>
      <c r="BI35" s="70"/>
      <c r="BJ35" s="60" t="s">
        <v>226</v>
      </c>
      <c r="BK35" s="71">
        <f>(AW35-AV35)*100</f>
        <v>3.2753811124098968</v>
      </c>
      <c r="BL35" s="71">
        <f>(AX35-AW35)*100</f>
        <v>0.11598307364514837</v>
      </c>
      <c r="BM35" s="71">
        <f>(AY35-AX35)*100</f>
        <v>1.4925246982007776</v>
      </c>
      <c r="BN35" s="71">
        <f>(AZ35-AY35)*100</f>
        <v>13.198570693808669</v>
      </c>
      <c r="BO35" s="200">
        <f>(BA35-AZ35)*100</f>
        <v>-12.082459578064492</v>
      </c>
      <c r="BP35" s="200"/>
      <c r="BQ35" s="276">
        <f>T35/M35</f>
        <v>0.14285714285714285</v>
      </c>
      <c r="BR35" s="67">
        <f>U35/N35</f>
        <v>0.46153846153846156</v>
      </c>
      <c r="BS35" s="67">
        <f>V35/O35</f>
        <v>0.63636363636363635</v>
      </c>
      <c r="BT35" s="67">
        <f t="shared" si="74"/>
        <v>0.29464285714285715</v>
      </c>
      <c r="BU35" s="68"/>
      <c r="BV35" s="175"/>
      <c r="BW35" s="73"/>
    </row>
    <row r="36" spans="1:75" x14ac:dyDescent="0.25">
      <c r="A36" s="13">
        <v>32</v>
      </c>
      <c r="B36" s="59" t="s">
        <v>356</v>
      </c>
      <c r="C36" s="60"/>
      <c r="D36" s="61"/>
      <c r="E36" s="61"/>
      <c r="F36" s="145">
        <v>0</v>
      </c>
      <c r="G36" s="62">
        <v>73</v>
      </c>
      <c r="H36" s="60"/>
      <c r="I36" s="61"/>
      <c r="J36" s="61"/>
      <c r="K36" s="145">
        <v>193</v>
      </c>
      <c r="L36" s="62">
        <v>0</v>
      </c>
      <c r="M36" s="60"/>
      <c r="N36" s="61"/>
      <c r="O36" s="61"/>
      <c r="P36" s="145">
        <v>150</v>
      </c>
      <c r="Q36" s="62">
        <v>240</v>
      </c>
      <c r="R36" s="60"/>
      <c r="S36" s="61"/>
      <c r="T36" s="61"/>
      <c r="U36" s="61"/>
      <c r="V36" s="61"/>
      <c r="W36" s="145">
        <v>20</v>
      </c>
      <c r="X36" s="62">
        <v>75</v>
      </c>
      <c r="Y36" s="60"/>
      <c r="Z36" s="61"/>
      <c r="AA36" s="61"/>
      <c r="AB36" s="145"/>
      <c r="AC36" s="61"/>
      <c r="AD36" s="61"/>
      <c r="AE36" s="61"/>
      <c r="AF36" s="63" t="s">
        <v>358</v>
      </c>
      <c r="AG36" s="64">
        <v>44.5</v>
      </c>
      <c r="AH36" s="270"/>
      <c r="AI36" s="65"/>
      <c r="AJ36" s="65"/>
      <c r="AK36" s="65"/>
      <c r="AL36" s="65"/>
      <c r="AM36" s="196">
        <v>127232.82</v>
      </c>
      <c r="AN36" s="66">
        <v>463614.14</v>
      </c>
      <c r="AO36" s="270"/>
      <c r="AP36" s="65"/>
      <c r="AQ36" s="65"/>
      <c r="AR36" s="65"/>
      <c r="AS36" s="65"/>
      <c r="AT36" s="196">
        <v>13662.82</v>
      </c>
      <c r="AU36" s="66">
        <v>30853.61</v>
      </c>
      <c r="AV36" s="276"/>
      <c r="AW36" s="67"/>
      <c r="AX36" s="67"/>
      <c r="AY36" s="67"/>
      <c r="AZ36" s="67"/>
      <c r="BA36" s="190">
        <v>0.11</v>
      </c>
      <c r="BB36" s="190">
        <f t="shared" si="7"/>
        <v>6.6550191933317654E-2</v>
      </c>
      <c r="BC36" s="276"/>
      <c r="BD36" s="69"/>
      <c r="BE36" s="69"/>
      <c r="BF36" s="69"/>
      <c r="BG36" s="69"/>
      <c r="BH36" s="199"/>
      <c r="BI36" s="70"/>
      <c r="BJ36" s="60"/>
      <c r="BK36" s="71"/>
      <c r="BL36" s="71"/>
      <c r="BM36" s="71"/>
      <c r="BN36" s="71"/>
      <c r="BO36" s="200"/>
      <c r="BP36" s="200">
        <f t="shared" si="56"/>
        <v>-4.3449808066682349</v>
      </c>
      <c r="BQ36" s="276"/>
      <c r="BR36" s="67"/>
      <c r="BS36" s="67"/>
      <c r="BT36" s="67">
        <f t="shared" si="74"/>
        <v>0.13333333333333333</v>
      </c>
      <c r="BU36" s="68">
        <f t="shared" si="12"/>
        <v>0.3125</v>
      </c>
      <c r="BV36" s="175"/>
      <c r="BW36" s="73">
        <f t="shared" si="14"/>
        <v>0.6</v>
      </c>
    </row>
    <row r="37" spans="1:75" x14ac:dyDescent="0.25">
      <c r="A37" s="13">
        <v>32</v>
      </c>
      <c r="B37" s="59" t="s">
        <v>357</v>
      </c>
      <c r="C37" s="60"/>
      <c r="D37" s="61"/>
      <c r="E37" s="61"/>
      <c r="F37" s="145">
        <v>0</v>
      </c>
      <c r="G37" s="62"/>
      <c r="H37" s="60"/>
      <c r="I37" s="61"/>
      <c r="J37" s="61"/>
      <c r="K37" s="145">
        <v>83</v>
      </c>
      <c r="L37" s="62"/>
      <c r="M37" s="60"/>
      <c r="N37" s="61"/>
      <c r="O37" s="61"/>
      <c r="P37" s="145">
        <v>66</v>
      </c>
      <c r="Q37" s="62"/>
      <c r="R37" s="60"/>
      <c r="S37" s="61"/>
      <c r="T37" s="61"/>
      <c r="U37" s="61"/>
      <c r="V37" s="61"/>
      <c r="W37" s="145">
        <v>6</v>
      </c>
      <c r="X37" s="62"/>
      <c r="Y37" s="60"/>
      <c r="Z37" s="61"/>
      <c r="AA37" s="61"/>
      <c r="AB37" s="145"/>
      <c r="AC37" s="61"/>
      <c r="AD37" s="61"/>
      <c r="AE37" s="61"/>
      <c r="AF37" s="63" t="s">
        <v>359</v>
      </c>
      <c r="AG37" s="64"/>
      <c r="AH37" s="270"/>
      <c r="AI37" s="65"/>
      <c r="AJ37" s="65"/>
      <c r="AK37" s="65"/>
      <c r="AL37" s="65"/>
      <c r="AM37" s="196">
        <v>88238.13</v>
      </c>
      <c r="AN37" s="66"/>
      <c r="AO37" s="270"/>
      <c r="AP37" s="65"/>
      <c r="AQ37" s="65"/>
      <c r="AR37" s="65"/>
      <c r="AS37" s="65"/>
      <c r="AT37" s="196">
        <v>4438.09</v>
      </c>
      <c r="AU37" s="66"/>
      <c r="AV37" s="276"/>
      <c r="AW37" s="67"/>
      <c r="AX37" s="67"/>
      <c r="AY37" s="67"/>
      <c r="AZ37" s="67"/>
      <c r="BA37" s="190">
        <v>0.05</v>
      </c>
      <c r="BB37" s="190"/>
      <c r="BC37" s="276"/>
      <c r="BD37" s="69"/>
      <c r="BE37" s="69"/>
      <c r="BF37" s="69"/>
      <c r="BG37" s="69"/>
      <c r="BH37" s="199"/>
      <c r="BI37" s="70"/>
      <c r="BJ37" s="60"/>
      <c r="BK37" s="71"/>
      <c r="BL37" s="71"/>
      <c r="BM37" s="71"/>
      <c r="BN37" s="71"/>
      <c r="BO37" s="200"/>
      <c r="BP37" s="200"/>
      <c r="BQ37" s="276"/>
      <c r="BR37" s="67"/>
      <c r="BS37" s="67"/>
      <c r="BT37" s="67">
        <f t="shared" si="74"/>
        <v>9.0909090909090912E-2</v>
      </c>
      <c r="BU37" s="68"/>
      <c r="BV37" s="175"/>
      <c r="BW37" s="73"/>
    </row>
    <row r="38" spans="1:75" x14ac:dyDescent="0.25">
      <c r="A38" s="13">
        <v>33</v>
      </c>
      <c r="B38" s="59" t="s">
        <v>365</v>
      </c>
      <c r="C38" s="60">
        <v>8</v>
      </c>
      <c r="D38" s="61">
        <v>8</v>
      </c>
      <c r="E38" s="61">
        <v>7</v>
      </c>
      <c r="F38" s="145">
        <v>7</v>
      </c>
      <c r="G38" s="62">
        <v>7</v>
      </c>
      <c r="H38" s="60">
        <v>47</v>
      </c>
      <c r="I38" s="61">
        <v>47</v>
      </c>
      <c r="J38" s="61">
        <v>47</v>
      </c>
      <c r="K38" s="145">
        <v>47</v>
      </c>
      <c r="L38" s="62">
        <v>47</v>
      </c>
      <c r="M38" s="60">
        <v>10</v>
      </c>
      <c r="N38" s="61">
        <v>16</v>
      </c>
      <c r="O38" s="61">
        <v>21</v>
      </c>
      <c r="P38" s="145">
        <v>19</v>
      </c>
      <c r="Q38" s="62">
        <v>15</v>
      </c>
      <c r="R38" s="60">
        <v>0</v>
      </c>
      <c r="S38" s="61">
        <v>0</v>
      </c>
      <c r="T38" s="61">
        <v>0</v>
      </c>
      <c r="U38" s="61">
        <v>0</v>
      </c>
      <c r="V38" s="61">
        <v>0</v>
      </c>
      <c r="W38" s="145">
        <v>1</v>
      </c>
      <c r="X38" s="62">
        <v>3</v>
      </c>
      <c r="Y38" s="60"/>
      <c r="Z38" s="61"/>
      <c r="AA38" s="61" t="s">
        <v>141</v>
      </c>
      <c r="AB38" s="145" t="s">
        <v>142</v>
      </c>
      <c r="AC38" s="61" t="s">
        <v>143</v>
      </c>
      <c r="AD38" s="91">
        <v>0.65</v>
      </c>
      <c r="AE38" s="61">
        <v>0.91</v>
      </c>
      <c r="AF38" s="145" t="s">
        <v>143</v>
      </c>
      <c r="AG38" s="62" t="s">
        <v>134</v>
      </c>
      <c r="AH38" s="270">
        <v>4722</v>
      </c>
      <c r="AI38" s="65">
        <v>8976</v>
      </c>
      <c r="AJ38" s="65">
        <v>7855</v>
      </c>
      <c r="AK38" s="65">
        <v>13039</v>
      </c>
      <c r="AL38" s="65">
        <v>13566</v>
      </c>
      <c r="AM38" s="196">
        <v>13695</v>
      </c>
      <c r="AN38" s="66">
        <v>13492</v>
      </c>
      <c r="AO38" s="270">
        <v>692</v>
      </c>
      <c r="AP38" s="65">
        <v>596</v>
      </c>
      <c r="AQ38" s="65">
        <v>1548</v>
      </c>
      <c r="AR38" s="65">
        <v>3729</v>
      </c>
      <c r="AS38" s="65">
        <v>3419</v>
      </c>
      <c r="AT38" s="196">
        <v>4610</v>
      </c>
      <c r="AU38" s="66">
        <v>2373.14</v>
      </c>
      <c r="AV38" s="276">
        <f t="shared" ref="AV38:BA38" si="75">AO38/AH38</f>
        <v>0.14654807285048707</v>
      </c>
      <c r="AW38" s="67">
        <f t="shared" si="75"/>
        <v>6.6399286987522288E-2</v>
      </c>
      <c r="AX38" s="67">
        <f t="shared" si="75"/>
        <v>0.19707192870782941</v>
      </c>
      <c r="AY38" s="67">
        <f t="shared" si="75"/>
        <v>0.28598818927831887</v>
      </c>
      <c r="AZ38" s="67">
        <f t="shared" si="75"/>
        <v>0.25202712664012972</v>
      </c>
      <c r="BA38" s="190">
        <f t="shared" si="75"/>
        <v>0.33661920408908363</v>
      </c>
      <c r="BB38" s="68">
        <f t="shared" si="7"/>
        <v>0.17589238067002666</v>
      </c>
      <c r="BC38" s="276" t="s">
        <v>226</v>
      </c>
      <c r="BD38" s="69">
        <f t="shared" ref="BD38:BH38" si="76">(AW38-$AV38)*100</f>
        <v>-8.0148785862964775</v>
      </c>
      <c r="BE38" s="69">
        <f t="shared" si="76"/>
        <v>5.0523855857342346</v>
      </c>
      <c r="BF38" s="69">
        <f t="shared" si="76"/>
        <v>13.944011642783179</v>
      </c>
      <c r="BG38" s="69">
        <f t="shared" si="76"/>
        <v>10.547905378964265</v>
      </c>
      <c r="BH38" s="199">
        <f t="shared" si="76"/>
        <v>19.007113123859657</v>
      </c>
      <c r="BI38" s="70">
        <f t="shared" si="28"/>
        <v>2.9344307819539588</v>
      </c>
      <c r="BJ38" s="60" t="s">
        <v>226</v>
      </c>
      <c r="BK38" s="71">
        <f t="shared" ref="BK38:BO38" si="77">(AW38-AV38)*100</f>
        <v>-8.0148785862964775</v>
      </c>
      <c r="BL38" s="71">
        <f t="shared" si="77"/>
        <v>13.067264172030713</v>
      </c>
      <c r="BM38" s="71">
        <f t="shared" si="77"/>
        <v>8.8916260570489456</v>
      </c>
      <c r="BN38" s="71">
        <f t="shared" si="77"/>
        <v>-3.3961062638189157</v>
      </c>
      <c r="BO38" s="200">
        <f t="shared" si="77"/>
        <v>8.4592077448953908</v>
      </c>
      <c r="BP38" s="72">
        <f t="shared" si="56"/>
        <v>-16.072682341905697</v>
      </c>
      <c r="BQ38" s="276">
        <f t="shared" ref="BQ38:BT38" si="78">T38/M38</f>
        <v>0</v>
      </c>
      <c r="BR38" s="67">
        <f t="shared" si="78"/>
        <v>0</v>
      </c>
      <c r="BS38" s="67">
        <f t="shared" si="78"/>
        <v>0</v>
      </c>
      <c r="BT38" s="190">
        <f t="shared" si="78"/>
        <v>5.2631578947368418E-2</v>
      </c>
      <c r="BU38" s="68">
        <f t="shared" si="12"/>
        <v>0.2</v>
      </c>
      <c r="BV38" s="175"/>
      <c r="BW38" s="73">
        <f t="shared" si="14"/>
        <v>-0.21052631578947367</v>
      </c>
    </row>
    <row r="39" spans="1:75" x14ac:dyDescent="0.25">
      <c r="A39" s="13">
        <v>33</v>
      </c>
      <c r="B39" s="59" t="s">
        <v>154</v>
      </c>
      <c r="C39" s="60">
        <v>3</v>
      </c>
      <c r="D39" s="61">
        <v>3</v>
      </c>
      <c r="E39" s="61">
        <v>3</v>
      </c>
      <c r="F39" s="145"/>
      <c r="G39" s="62">
        <v>0</v>
      </c>
      <c r="H39" s="60">
        <v>57</v>
      </c>
      <c r="I39" s="61">
        <v>55</v>
      </c>
      <c r="J39" s="61">
        <v>55</v>
      </c>
      <c r="K39" s="145"/>
      <c r="L39" s="62">
        <v>55</v>
      </c>
      <c r="M39" s="60">
        <v>17</v>
      </c>
      <c r="N39" s="61">
        <v>19</v>
      </c>
      <c r="O39" s="61">
        <v>17</v>
      </c>
      <c r="P39" s="145"/>
      <c r="Q39" s="62">
        <v>20</v>
      </c>
      <c r="R39" s="60">
        <v>0</v>
      </c>
      <c r="S39" s="61">
        <v>0</v>
      </c>
      <c r="T39" s="61">
        <v>0</v>
      </c>
      <c r="U39" s="61">
        <v>0</v>
      </c>
      <c r="V39" s="61">
        <v>5</v>
      </c>
      <c r="W39" s="145"/>
      <c r="X39" s="62">
        <v>4</v>
      </c>
      <c r="Y39" s="60" t="s">
        <v>146</v>
      </c>
      <c r="Z39" s="61" t="s">
        <v>146</v>
      </c>
      <c r="AA39" s="61" t="s">
        <v>146</v>
      </c>
      <c r="AB39" s="145" t="s">
        <v>147</v>
      </c>
      <c r="AC39" s="61" t="s">
        <v>94</v>
      </c>
      <c r="AD39" s="91">
        <v>0.43</v>
      </c>
      <c r="AE39" s="61">
        <v>0.64</v>
      </c>
      <c r="AF39" s="152"/>
      <c r="AG39" s="61" t="s">
        <v>94</v>
      </c>
      <c r="AH39" s="270">
        <v>8571</v>
      </c>
      <c r="AI39" s="65">
        <v>9029</v>
      </c>
      <c r="AJ39" s="65">
        <v>9042</v>
      </c>
      <c r="AK39" s="65">
        <v>9687</v>
      </c>
      <c r="AL39" s="65">
        <v>14892</v>
      </c>
      <c r="AM39" s="196"/>
      <c r="AN39" s="66">
        <v>15388</v>
      </c>
      <c r="AO39" s="270">
        <v>1907</v>
      </c>
      <c r="AP39" s="65">
        <v>1908</v>
      </c>
      <c r="AQ39" s="65">
        <v>1240</v>
      </c>
      <c r="AR39" s="65">
        <v>2104</v>
      </c>
      <c r="AS39" s="65">
        <v>3544</v>
      </c>
      <c r="AT39" s="196"/>
      <c r="AU39" s="66">
        <v>3009</v>
      </c>
      <c r="AV39" s="276">
        <f t="shared" ref="AV39:AZ39" si="79">AO39/AH39</f>
        <v>0.22249445805623613</v>
      </c>
      <c r="AW39" s="67">
        <f t="shared" si="79"/>
        <v>0.21131908295492302</v>
      </c>
      <c r="AX39" s="67">
        <f t="shared" si="79"/>
        <v>0.13713780137137802</v>
      </c>
      <c r="AY39" s="67">
        <f t="shared" si="79"/>
        <v>0.21719830700939402</v>
      </c>
      <c r="AZ39" s="67">
        <f t="shared" si="79"/>
        <v>0.23798012355627182</v>
      </c>
      <c r="BA39" s="190"/>
      <c r="BB39" s="68">
        <f t="shared" si="7"/>
        <v>0.19554198076423188</v>
      </c>
      <c r="BC39" s="276" t="s">
        <v>226</v>
      </c>
      <c r="BD39" s="69">
        <f t="shared" ref="BD39:BG39" si="80">(AW39-$AV39)*100</f>
        <v>-1.1175375101313112</v>
      </c>
      <c r="BE39" s="69">
        <f t="shared" si="80"/>
        <v>-8.5356656684858123</v>
      </c>
      <c r="BF39" s="69">
        <f t="shared" si="80"/>
        <v>-0.52961510468421125</v>
      </c>
      <c r="BG39" s="69">
        <f t="shared" si="80"/>
        <v>1.548566550003569</v>
      </c>
      <c r="BH39" s="199"/>
      <c r="BI39" s="70">
        <f t="shared" si="28"/>
        <v>-2.6952477292004255</v>
      </c>
      <c r="BJ39" s="60" t="s">
        <v>226</v>
      </c>
      <c r="BK39" s="71">
        <f t="shared" ref="BK39:BN39" si="81">(AW39-AV39)*100</f>
        <v>-1.1175375101313112</v>
      </c>
      <c r="BL39" s="71">
        <f t="shared" si="81"/>
        <v>-7.4181281583545005</v>
      </c>
      <c r="BM39" s="71">
        <f t="shared" si="81"/>
        <v>8.0060505638016011</v>
      </c>
      <c r="BN39" s="71">
        <f t="shared" si="81"/>
        <v>2.0781816546877803</v>
      </c>
      <c r="BO39" s="200"/>
      <c r="BP39" s="72"/>
      <c r="BQ39" s="276">
        <f t="shared" ref="BQ39:BS39" si="82">T39/M39</f>
        <v>0</v>
      </c>
      <c r="BR39" s="67">
        <f t="shared" si="82"/>
        <v>0</v>
      </c>
      <c r="BS39" s="67">
        <f t="shared" si="82"/>
        <v>0.29411764705882354</v>
      </c>
      <c r="BT39" s="190"/>
      <c r="BU39" s="68">
        <f t="shared" si="12"/>
        <v>0.2</v>
      </c>
      <c r="BV39" s="175"/>
      <c r="BW39" s="73"/>
    </row>
    <row r="40" spans="1:75" x14ac:dyDescent="0.25">
      <c r="A40" s="13">
        <v>33</v>
      </c>
      <c r="B40" s="59" t="s">
        <v>155</v>
      </c>
      <c r="C40" s="60">
        <v>11</v>
      </c>
      <c r="D40" s="61">
        <v>13</v>
      </c>
      <c r="E40" s="61">
        <v>13</v>
      </c>
      <c r="F40" s="145">
        <v>0</v>
      </c>
      <c r="G40" s="62">
        <v>0</v>
      </c>
      <c r="H40" s="60">
        <v>154</v>
      </c>
      <c r="I40" s="61">
        <v>152</v>
      </c>
      <c r="J40" s="61">
        <v>152</v>
      </c>
      <c r="K40" s="145">
        <v>146</v>
      </c>
      <c r="L40" s="62">
        <v>145</v>
      </c>
      <c r="M40" s="60">
        <v>14</v>
      </c>
      <c r="N40" s="61">
        <v>17</v>
      </c>
      <c r="O40" s="61">
        <v>51</v>
      </c>
      <c r="P40" s="145">
        <v>60</v>
      </c>
      <c r="Q40" s="62">
        <v>54</v>
      </c>
      <c r="R40" s="60">
        <v>0</v>
      </c>
      <c r="S40" s="61">
        <v>0</v>
      </c>
      <c r="T40" s="61">
        <v>0</v>
      </c>
      <c r="U40" s="61">
        <v>0</v>
      </c>
      <c r="V40" s="61">
        <v>0</v>
      </c>
      <c r="W40" s="145">
        <v>0</v>
      </c>
      <c r="X40" s="62">
        <v>0</v>
      </c>
      <c r="Y40" s="60" t="s">
        <v>148</v>
      </c>
      <c r="Z40" s="61" t="s">
        <v>91</v>
      </c>
      <c r="AA40" s="61">
        <v>21.34</v>
      </c>
      <c r="AB40" s="145">
        <v>23.73</v>
      </c>
      <c r="AC40" s="61">
        <v>25.17</v>
      </c>
      <c r="AD40" s="91"/>
      <c r="AE40" s="61"/>
      <c r="AF40" s="152">
        <v>25.17</v>
      </c>
      <c r="AG40" s="152">
        <v>25.17</v>
      </c>
      <c r="AH40" s="270">
        <v>20750.02</v>
      </c>
      <c r="AI40" s="65">
        <v>24520.52</v>
      </c>
      <c r="AJ40" s="65">
        <v>24935.64</v>
      </c>
      <c r="AK40" s="65">
        <v>36261.919999999998</v>
      </c>
      <c r="AL40" s="65">
        <v>39404.58</v>
      </c>
      <c r="AM40" s="196">
        <v>42840.71</v>
      </c>
      <c r="AN40" s="66">
        <v>41418.839999999997</v>
      </c>
      <c r="AO40" s="270">
        <v>1029.8399999999999</v>
      </c>
      <c r="AP40" s="65">
        <v>1218.6400000000001</v>
      </c>
      <c r="AQ40" s="65">
        <v>1517.81</v>
      </c>
      <c r="AR40" s="65">
        <v>5732.87</v>
      </c>
      <c r="AS40" s="65">
        <v>4727.6000000000004</v>
      </c>
      <c r="AT40" s="196">
        <v>5425.65</v>
      </c>
      <c r="AU40" s="66">
        <v>1434.36</v>
      </c>
      <c r="AV40" s="276">
        <f t="shared" ref="AV40:BA44" si="83">AO40/AH40</f>
        <v>4.963079553658261E-2</v>
      </c>
      <c r="AW40" s="67">
        <f t="shared" si="83"/>
        <v>4.9698782896936938E-2</v>
      </c>
      <c r="AX40" s="67">
        <f t="shared" si="83"/>
        <v>6.0869101414681957E-2</v>
      </c>
      <c r="AY40" s="67">
        <f t="shared" si="83"/>
        <v>0.15809615155513002</v>
      </c>
      <c r="AZ40" s="67">
        <f t="shared" si="83"/>
        <v>0.11997590127848083</v>
      </c>
      <c r="BA40" s="190">
        <f t="shared" si="83"/>
        <v>0.12664706070464285</v>
      </c>
      <c r="BB40" s="68">
        <f t="shared" si="7"/>
        <v>3.4630617371225268E-2</v>
      </c>
      <c r="BC40" s="276" t="s">
        <v>226</v>
      </c>
      <c r="BD40" s="69">
        <f t="shared" ref="BD40:BG44" si="84">(AW40-$AV40)*100</f>
        <v>6.798736035432823E-3</v>
      </c>
      <c r="BE40" s="69">
        <f t="shared" si="84"/>
        <v>1.1238305878099348</v>
      </c>
      <c r="BF40" s="69">
        <f t="shared" si="84"/>
        <v>10.84653560185474</v>
      </c>
      <c r="BG40" s="69">
        <f t="shared" si="84"/>
        <v>7.0345105741898228</v>
      </c>
      <c r="BH40" s="199">
        <f>(BA40-$AV40)*100</f>
        <v>7.7016265168060229</v>
      </c>
      <c r="BI40" s="70">
        <f t="shared" si="28"/>
        <v>-1.5000178165357343</v>
      </c>
      <c r="BJ40" s="60" t="s">
        <v>226</v>
      </c>
      <c r="BK40" s="71">
        <f t="shared" ref="BK40:BN44" si="85">(AW40-AV40)*100</f>
        <v>6.798736035432823E-3</v>
      </c>
      <c r="BL40" s="71">
        <f t="shared" si="85"/>
        <v>1.1170318517745019</v>
      </c>
      <c r="BM40" s="71">
        <f t="shared" si="85"/>
        <v>9.7227050140448057</v>
      </c>
      <c r="BN40" s="71">
        <f t="shared" si="85"/>
        <v>-3.8120250276649186</v>
      </c>
      <c r="BO40" s="200">
        <f>(BA40-AZ40)*100</f>
        <v>0.66711594261620188</v>
      </c>
      <c r="BP40" s="72">
        <f t="shared" si="56"/>
        <v>-9.2016443333417577</v>
      </c>
      <c r="BQ40" s="276">
        <f t="shared" ref="BQ40:BQ49" si="86">T40/M40</f>
        <v>0</v>
      </c>
      <c r="BR40" s="67">
        <f t="shared" ref="BR40:BR49" si="87">U40/N40</f>
        <v>0</v>
      </c>
      <c r="BS40" s="67">
        <f t="shared" ref="BS40:BS49" si="88">V40/O40</f>
        <v>0</v>
      </c>
      <c r="BT40" s="190">
        <f>W40/P40</f>
        <v>0</v>
      </c>
      <c r="BU40" s="68">
        <f t="shared" si="12"/>
        <v>0</v>
      </c>
      <c r="BV40" s="175">
        <f t="shared" si="13"/>
        <v>0</v>
      </c>
      <c r="BW40" s="73">
        <f t="shared" si="14"/>
        <v>-0.1</v>
      </c>
    </row>
    <row r="41" spans="1:75" x14ac:dyDescent="0.25">
      <c r="A41" s="13">
        <v>33</v>
      </c>
      <c r="B41" s="59" t="s">
        <v>156</v>
      </c>
      <c r="C41" s="60">
        <v>7</v>
      </c>
      <c r="D41" s="61">
        <v>7</v>
      </c>
      <c r="E41" s="61">
        <v>7</v>
      </c>
      <c r="F41" s="145"/>
      <c r="G41" s="62">
        <v>7</v>
      </c>
      <c r="H41" s="60">
        <v>177</v>
      </c>
      <c r="I41" s="61">
        <v>177</v>
      </c>
      <c r="J41" s="61">
        <v>177</v>
      </c>
      <c r="K41" s="145"/>
      <c r="L41" s="62">
        <v>181</v>
      </c>
      <c r="M41" s="60">
        <v>102</v>
      </c>
      <c r="N41" s="61">
        <v>98</v>
      </c>
      <c r="O41" s="61">
        <v>103</v>
      </c>
      <c r="P41" s="145"/>
      <c r="Q41" s="62">
        <v>110</v>
      </c>
      <c r="R41" s="60">
        <v>19</v>
      </c>
      <c r="S41" s="61">
        <v>2</v>
      </c>
      <c r="T41" s="61">
        <v>3</v>
      </c>
      <c r="U41" s="61">
        <v>37</v>
      </c>
      <c r="V41" s="61">
        <v>19</v>
      </c>
      <c r="W41" s="145"/>
      <c r="X41" s="62">
        <v>4</v>
      </c>
      <c r="Y41" s="60">
        <v>21.33</v>
      </c>
      <c r="Z41" s="61">
        <v>23.64</v>
      </c>
      <c r="AA41" s="61">
        <v>29.25</v>
      </c>
      <c r="AB41" s="145">
        <v>34.11</v>
      </c>
      <c r="AC41" s="61">
        <v>34.11</v>
      </c>
      <c r="AD41" s="91"/>
      <c r="AE41" s="61"/>
      <c r="AF41" s="152"/>
      <c r="AG41" s="64">
        <v>37.21</v>
      </c>
      <c r="AH41" s="270">
        <v>26286.17</v>
      </c>
      <c r="AI41" s="65">
        <v>25155.74</v>
      </c>
      <c r="AJ41" s="65">
        <v>33971.15</v>
      </c>
      <c r="AK41" s="65">
        <v>39911.67</v>
      </c>
      <c r="AL41" s="65">
        <v>48610.23</v>
      </c>
      <c r="AM41" s="196"/>
      <c r="AN41" s="66">
        <v>46615.93</v>
      </c>
      <c r="AO41" s="270">
        <v>580.37</v>
      </c>
      <c r="AP41" s="65">
        <v>788.68</v>
      </c>
      <c r="AQ41" s="65">
        <v>2010.82</v>
      </c>
      <c r="AR41" s="65">
        <v>3847.74</v>
      </c>
      <c r="AS41" s="65">
        <v>12548.27</v>
      </c>
      <c r="AT41" s="196"/>
      <c r="AU41" s="66">
        <v>15689.67</v>
      </c>
      <c r="AV41" s="276">
        <f t="shared" ref="AV41:BA42" si="89">AO41/AH41</f>
        <v>2.2078910697146067E-2</v>
      </c>
      <c r="AW41" s="67">
        <f t="shared" si="89"/>
        <v>3.1351890264408835E-2</v>
      </c>
      <c r="AX41" s="67">
        <f t="shared" si="89"/>
        <v>5.9191990851060382E-2</v>
      </c>
      <c r="AY41" s="67">
        <f t="shared" si="89"/>
        <v>9.6406389409413332E-2</v>
      </c>
      <c r="AZ41" s="67">
        <f t="shared" si="89"/>
        <v>0.25814051898129259</v>
      </c>
      <c r="BA41" s="190"/>
      <c r="BB41" s="68">
        <f t="shared" si="7"/>
        <v>0.33657314141324651</v>
      </c>
      <c r="BC41" s="276" t="s">
        <v>226</v>
      </c>
      <c r="BD41" s="69">
        <f t="shared" ref="BD41:BG42" si="90">(AW41-$AV41)*100</f>
        <v>0.92729795672627691</v>
      </c>
      <c r="BE41" s="69">
        <f t="shared" si="90"/>
        <v>3.711308015391432</v>
      </c>
      <c r="BF41" s="69">
        <f t="shared" si="90"/>
        <v>7.4327478712267263</v>
      </c>
      <c r="BG41" s="69">
        <f t="shared" si="90"/>
        <v>23.606160828414652</v>
      </c>
      <c r="BH41" s="199"/>
      <c r="BI41" s="70">
        <f t="shared" ref="BI41:BI42" si="91">(BB41-$AV41)*100</f>
        <v>31.449423071610045</v>
      </c>
      <c r="BJ41" s="60" t="s">
        <v>226</v>
      </c>
      <c r="BK41" s="71">
        <f t="shared" ref="BK41:BN42" si="92">(AW41-AV41)*100</f>
        <v>0.92729795672627691</v>
      </c>
      <c r="BL41" s="71">
        <f t="shared" si="92"/>
        <v>2.7840100586651548</v>
      </c>
      <c r="BM41" s="71">
        <f t="shared" si="92"/>
        <v>3.7214398558352948</v>
      </c>
      <c r="BN41" s="71">
        <f t="shared" si="92"/>
        <v>16.173412957187928</v>
      </c>
      <c r="BO41" s="200"/>
      <c r="BP41" s="72"/>
      <c r="BQ41" s="276">
        <f t="shared" ref="BQ41:BS42" si="93">T41/M41</f>
        <v>2.9411764705882353E-2</v>
      </c>
      <c r="BR41" s="67">
        <f t="shared" si="93"/>
        <v>0.37755102040816324</v>
      </c>
      <c r="BS41" s="67">
        <f t="shared" si="93"/>
        <v>0.18446601941747573</v>
      </c>
      <c r="BT41" s="190"/>
      <c r="BU41" s="68">
        <f t="shared" si="12"/>
        <v>3.6363636363636362E-2</v>
      </c>
      <c r="BV41" s="175"/>
      <c r="BW41" s="73"/>
    </row>
    <row r="42" spans="1:75" x14ac:dyDescent="0.25">
      <c r="A42" s="13">
        <v>33</v>
      </c>
      <c r="B42" s="59" t="s">
        <v>157</v>
      </c>
      <c r="C42" s="60">
        <v>7</v>
      </c>
      <c r="D42" s="61">
        <v>6</v>
      </c>
      <c r="E42" s="61">
        <v>4</v>
      </c>
      <c r="F42" s="145">
        <v>4</v>
      </c>
      <c r="G42" s="62">
        <v>4</v>
      </c>
      <c r="H42" s="60">
        <v>151</v>
      </c>
      <c r="I42" s="61">
        <v>139</v>
      </c>
      <c r="J42" s="61">
        <v>94</v>
      </c>
      <c r="K42" s="145">
        <v>96</v>
      </c>
      <c r="L42" s="62">
        <v>96</v>
      </c>
      <c r="M42" s="60">
        <v>82</v>
      </c>
      <c r="N42" s="61">
        <v>96</v>
      </c>
      <c r="O42" s="61">
        <v>84</v>
      </c>
      <c r="P42" s="145">
        <v>73</v>
      </c>
      <c r="Q42" s="62">
        <v>69</v>
      </c>
      <c r="R42" s="60">
        <v>29</v>
      </c>
      <c r="S42" s="61">
        <v>1</v>
      </c>
      <c r="T42" s="61">
        <v>7</v>
      </c>
      <c r="U42" s="61">
        <v>38</v>
      </c>
      <c r="V42" s="61">
        <v>22</v>
      </c>
      <c r="W42" s="145">
        <v>12</v>
      </c>
      <c r="X42" s="62">
        <v>1</v>
      </c>
      <c r="Y42" s="85">
        <v>18.5</v>
      </c>
      <c r="Z42" s="63">
        <v>18.5</v>
      </c>
      <c r="AA42" s="63">
        <v>28.5</v>
      </c>
      <c r="AB42" s="145">
        <v>32.75</v>
      </c>
      <c r="AC42" s="61">
        <v>32.75</v>
      </c>
      <c r="AD42" s="91"/>
      <c r="AE42" s="61"/>
      <c r="AF42" s="152">
        <v>32.75</v>
      </c>
      <c r="AG42" s="152">
        <v>32.75</v>
      </c>
      <c r="AH42" s="270">
        <v>17995.41</v>
      </c>
      <c r="AI42" s="65">
        <v>18464.64</v>
      </c>
      <c r="AJ42" s="65">
        <v>23410.33</v>
      </c>
      <c r="AK42" s="65">
        <v>31191.75</v>
      </c>
      <c r="AL42" s="65">
        <v>24931.5</v>
      </c>
      <c r="AM42" s="196">
        <v>26452.13</v>
      </c>
      <c r="AN42" s="66">
        <v>24866.29</v>
      </c>
      <c r="AO42" s="270">
        <v>1298.24</v>
      </c>
      <c r="AP42" s="65">
        <v>1382.28</v>
      </c>
      <c r="AQ42" s="65">
        <v>2646.78</v>
      </c>
      <c r="AR42" s="65">
        <v>3668.45</v>
      </c>
      <c r="AS42" s="65">
        <v>7205.17</v>
      </c>
      <c r="AT42" s="196">
        <v>16082.99</v>
      </c>
      <c r="AU42" s="66">
        <v>4903</v>
      </c>
      <c r="AV42" s="276">
        <f t="shared" si="89"/>
        <v>7.2142840868866007E-2</v>
      </c>
      <c r="AW42" s="67">
        <f t="shared" si="89"/>
        <v>7.4860923364874696E-2</v>
      </c>
      <c r="AX42" s="67">
        <f t="shared" si="89"/>
        <v>0.11306034558248432</v>
      </c>
      <c r="AY42" s="67">
        <f t="shared" si="89"/>
        <v>0.11760962433976932</v>
      </c>
      <c r="AZ42" s="67">
        <f t="shared" si="89"/>
        <v>0.28899865631831217</v>
      </c>
      <c r="BA42" s="190">
        <f t="shared" si="89"/>
        <v>0.60800358988104164</v>
      </c>
      <c r="BB42" s="68">
        <f t="shared" si="7"/>
        <v>0.19717456846196196</v>
      </c>
      <c r="BC42" s="276" t="s">
        <v>226</v>
      </c>
      <c r="BD42" s="69">
        <f t="shared" si="90"/>
        <v>0.27180824960086891</v>
      </c>
      <c r="BE42" s="69">
        <f t="shared" si="90"/>
        <v>4.0917504713618307</v>
      </c>
      <c r="BF42" s="69">
        <f t="shared" si="90"/>
        <v>4.5466783470903316</v>
      </c>
      <c r="BG42" s="69">
        <f t="shared" si="90"/>
        <v>21.685581544944615</v>
      </c>
      <c r="BH42" s="199">
        <f>(BA42-$AV42)*100</f>
        <v>53.586074901217565</v>
      </c>
      <c r="BI42" s="70">
        <f t="shared" si="91"/>
        <v>12.503172759309594</v>
      </c>
      <c r="BJ42" s="60" t="s">
        <v>226</v>
      </c>
      <c r="BK42" s="71">
        <f t="shared" si="92"/>
        <v>0.27180824960086891</v>
      </c>
      <c r="BL42" s="71">
        <f t="shared" si="92"/>
        <v>3.8199422217609622</v>
      </c>
      <c r="BM42" s="71">
        <f t="shared" si="92"/>
        <v>0.45492787572850024</v>
      </c>
      <c r="BN42" s="71">
        <f t="shared" si="92"/>
        <v>17.138903197854287</v>
      </c>
      <c r="BO42" s="200">
        <f>(BA42-AZ42)*100</f>
        <v>31.900493356272946</v>
      </c>
      <c r="BP42" s="72">
        <f t="shared" ref="BP42" si="94">(BB42-BA42)*100</f>
        <v>-41.082902141907965</v>
      </c>
      <c r="BQ42" s="276">
        <f t="shared" si="93"/>
        <v>8.5365853658536592E-2</v>
      </c>
      <c r="BR42" s="67">
        <f t="shared" si="93"/>
        <v>0.39583333333333331</v>
      </c>
      <c r="BS42" s="67">
        <f t="shared" si="93"/>
        <v>0.26190476190476192</v>
      </c>
      <c r="BT42" s="190">
        <f>W42/P42</f>
        <v>0.16438356164383561</v>
      </c>
      <c r="BU42" s="68">
        <f t="shared" si="12"/>
        <v>1.4492753623188406E-2</v>
      </c>
      <c r="BV42" s="175">
        <f t="shared" ref="BV42" si="95">(AG42-AF42)/AF42</f>
        <v>0</v>
      </c>
      <c r="BW42" s="73">
        <f t="shared" ref="BW42" si="96">(Q42-P42)/P42</f>
        <v>-5.4794520547945202E-2</v>
      </c>
    </row>
    <row r="43" spans="1:75" x14ac:dyDescent="0.25">
      <c r="A43" s="13">
        <v>33</v>
      </c>
      <c r="B43" s="59" t="s">
        <v>159</v>
      </c>
      <c r="C43" s="60">
        <v>0</v>
      </c>
      <c r="D43" s="61">
        <v>0</v>
      </c>
      <c r="E43" s="61">
        <v>0</v>
      </c>
      <c r="F43" s="145">
        <v>0</v>
      </c>
      <c r="G43" s="62">
        <v>0</v>
      </c>
      <c r="H43" s="60">
        <v>72</v>
      </c>
      <c r="I43" s="61">
        <v>70</v>
      </c>
      <c r="J43" s="61">
        <v>70</v>
      </c>
      <c r="K43" s="145">
        <v>72</v>
      </c>
      <c r="L43" s="62">
        <v>71</v>
      </c>
      <c r="M43" s="60">
        <v>58</v>
      </c>
      <c r="N43" s="61">
        <v>61</v>
      </c>
      <c r="O43" s="61">
        <v>43</v>
      </c>
      <c r="P43" s="145">
        <v>44</v>
      </c>
      <c r="Q43" s="62">
        <v>46</v>
      </c>
      <c r="R43" s="60">
        <v>0</v>
      </c>
      <c r="S43" s="61">
        <v>0</v>
      </c>
      <c r="T43" s="61">
        <v>1</v>
      </c>
      <c r="U43" s="61">
        <v>0</v>
      </c>
      <c r="V43" s="61">
        <v>0</v>
      </c>
      <c r="W43" s="145">
        <v>2</v>
      </c>
      <c r="X43" s="62">
        <v>4</v>
      </c>
      <c r="Y43" s="60" t="s">
        <v>149</v>
      </c>
      <c r="Z43" s="61" t="s">
        <v>80</v>
      </c>
      <c r="AA43" s="61" t="s">
        <v>150</v>
      </c>
      <c r="AB43" s="145" t="s">
        <v>151</v>
      </c>
      <c r="AC43" s="61" t="s">
        <v>151</v>
      </c>
      <c r="AD43" s="91">
        <v>0.56999999999999995</v>
      </c>
      <c r="AE43" s="61">
        <v>0.66</v>
      </c>
      <c r="AF43" s="145" t="s">
        <v>151</v>
      </c>
      <c r="AG43" s="145" t="s">
        <v>151</v>
      </c>
      <c r="AH43" s="270">
        <v>12548.6</v>
      </c>
      <c r="AI43" s="65">
        <v>11862.5</v>
      </c>
      <c r="AJ43" s="65">
        <v>16102.27</v>
      </c>
      <c r="AK43" s="65">
        <v>17446.2</v>
      </c>
      <c r="AL43" s="65">
        <v>17821.64</v>
      </c>
      <c r="AM43" s="196">
        <v>19308</v>
      </c>
      <c r="AN43" s="66">
        <v>21098.26</v>
      </c>
      <c r="AO43" s="270">
        <v>3858.63</v>
      </c>
      <c r="AP43" s="65">
        <v>5285.49</v>
      </c>
      <c r="AQ43" s="65">
        <v>3575.88</v>
      </c>
      <c r="AR43" s="65">
        <v>5069.87</v>
      </c>
      <c r="AS43" s="65">
        <v>7647.61</v>
      </c>
      <c r="AT43" s="196">
        <v>3602</v>
      </c>
      <c r="AU43" s="66">
        <v>2040.74</v>
      </c>
      <c r="AV43" s="276">
        <f t="shared" si="83"/>
        <v>0.30749485998438075</v>
      </c>
      <c r="AW43" s="67">
        <f t="shared" si="83"/>
        <v>0.44556290832455214</v>
      </c>
      <c r="AX43" s="67">
        <f t="shared" si="83"/>
        <v>0.22207303690721866</v>
      </c>
      <c r="AY43" s="67">
        <f t="shared" si="83"/>
        <v>0.29060024532562961</v>
      </c>
      <c r="AZ43" s="67">
        <f t="shared" si="83"/>
        <v>0.4291193178630025</v>
      </c>
      <c r="BA43" s="190">
        <f t="shared" si="83"/>
        <v>0.18655479593950694</v>
      </c>
      <c r="BB43" s="68">
        <f t="shared" si="7"/>
        <v>9.6725511961649926E-2</v>
      </c>
      <c r="BC43" s="276" t="s">
        <v>226</v>
      </c>
      <c r="BD43" s="69">
        <f t="shared" si="84"/>
        <v>13.806804834017139</v>
      </c>
      <c r="BE43" s="69">
        <f t="shared" si="84"/>
        <v>-8.5421823077162085</v>
      </c>
      <c r="BF43" s="69">
        <f t="shared" si="84"/>
        <v>-1.6894614658751139</v>
      </c>
      <c r="BG43" s="69">
        <f t="shared" si="84"/>
        <v>12.162445787862175</v>
      </c>
      <c r="BH43" s="199">
        <f>(BA43-$AV43)*100</f>
        <v>-12.094006404487381</v>
      </c>
      <c r="BI43" s="70">
        <f t="shared" si="28"/>
        <v>-21.076934802273083</v>
      </c>
      <c r="BJ43" s="60" t="s">
        <v>226</v>
      </c>
      <c r="BK43" s="71">
        <f t="shared" si="85"/>
        <v>13.806804834017139</v>
      </c>
      <c r="BL43" s="71">
        <f t="shared" si="85"/>
        <v>-22.34898714173335</v>
      </c>
      <c r="BM43" s="71">
        <f t="shared" si="85"/>
        <v>6.8527208418410952</v>
      </c>
      <c r="BN43" s="71">
        <f t="shared" si="85"/>
        <v>13.85190725373729</v>
      </c>
      <c r="BO43" s="200">
        <f>(BA43-AZ43)*100</f>
        <v>-24.256452192349556</v>
      </c>
      <c r="BP43" s="72">
        <f t="shared" si="56"/>
        <v>-8.9829283977857006</v>
      </c>
      <c r="BQ43" s="276">
        <f t="shared" si="86"/>
        <v>1.7241379310344827E-2</v>
      </c>
      <c r="BR43" s="67">
        <f t="shared" si="87"/>
        <v>0</v>
      </c>
      <c r="BS43" s="67">
        <f t="shared" si="88"/>
        <v>0</v>
      </c>
      <c r="BT43" s="190">
        <f>W43/P43</f>
        <v>4.5454545454545456E-2</v>
      </c>
      <c r="BU43" s="68">
        <f t="shared" si="12"/>
        <v>8.6956521739130432E-2</v>
      </c>
      <c r="BV43" s="175"/>
      <c r="BW43" s="73">
        <f t="shared" si="14"/>
        <v>4.5454545454545456E-2</v>
      </c>
    </row>
    <row r="44" spans="1:75" x14ac:dyDescent="0.25">
      <c r="A44" s="13">
        <v>35</v>
      </c>
      <c r="B44" s="59" t="s">
        <v>291</v>
      </c>
      <c r="C44" s="60">
        <v>18</v>
      </c>
      <c r="D44" s="61">
        <v>18</v>
      </c>
      <c r="E44" s="145">
        <v>18</v>
      </c>
      <c r="F44" s="145"/>
      <c r="G44" s="62"/>
      <c r="H44" s="60">
        <v>4</v>
      </c>
      <c r="I44" s="61">
        <v>4</v>
      </c>
      <c r="J44" s="145">
        <v>4</v>
      </c>
      <c r="K44" s="145"/>
      <c r="L44" s="62"/>
      <c r="M44" s="60">
        <v>119</v>
      </c>
      <c r="N44" s="61">
        <v>167</v>
      </c>
      <c r="O44" s="145">
        <v>170</v>
      </c>
      <c r="P44" s="145"/>
      <c r="Q44" s="62"/>
      <c r="R44" s="60">
        <v>0</v>
      </c>
      <c r="S44" s="61">
        <v>1</v>
      </c>
      <c r="T44" s="61">
        <v>0</v>
      </c>
      <c r="U44" s="61">
        <v>0</v>
      </c>
      <c r="V44" s="145">
        <v>4</v>
      </c>
      <c r="W44" s="145"/>
      <c r="X44" s="62"/>
      <c r="Y44" s="85">
        <f>(28.03+33.38+32.2)/3</f>
        <v>31.203333333333337</v>
      </c>
      <c r="Z44" s="63">
        <f>(32.2+40.45)/2</f>
        <v>36.325000000000003</v>
      </c>
      <c r="AA44" s="61"/>
      <c r="AB44" s="61"/>
      <c r="AC44" s="61"/>
      <c r="AD44" s="61"/>
      <c r="AE44" s="61"/>
      <c r="AF44" s="61"/>
      <c r="AG44" s="62"/>
      <c r="AH44" s="270">
        <v>130342</v>
      </c>
      <c r="AI44" s="65">
        <v>138359</v>
      </c>
      <c r="AJ44" s="65">
        <v>172517</v>
      </c>
      <c r="AK44" s="65">
        <v>254408</v>
      </c>
      <c r="AL44" s="196">
        <v>221831</v>
      </c>
      <c r="AM44" s="196"/>
      <c r="AN44" s="66"/>
      <c r="AO44" s="270">
        <v>3808</v>
      </c>
      <c r="AP44" s="65">
        <v>4201</v>
      </c>
      <c r="AQ44" s="65">
        <v>6449</v>
      </c>
      <c r="AR44" s="65">
        <v>19035</v>
      </c>
      <c r="AS44" s="196">
        <v>28459</v>
      </c>
      <c r="AT44" s="196"/>
      <c r="AU44" s="66"/>
      <c r="AV44" s="276">
        <f t="shared" si="83"/>
        <v>2.9215448589096377E-2</v>
      </c>
      <c r="AW44" s="67">
        <f t="shared" si="83"/>
        <v>3.0363041074306697E-2</v>
      </c>
      <c r="AX44" s="67">
        <f t="shared" si="83"/>
        <v>3.7381823240608174E-2</v>
      </c>
      <c r="AY44" s="67">
        <f t="shared" si="83"/>
        <v>7.4820760353448007E-2</v>
      </c>
      <c r="AZ44" s="190">
        <f t="shared" si="83"/>
        <v>0.12829135693388211</v>
      </c>
      <c r="BA44" s="190"/>
      <c r="BB44" s="190"/>
      <c r="BC44" s="276" t="s">
        <v>226</v>
      </c>
      <c r="BD44" s="69">
        <f t="shared" si="84"/>
        <v>0.11475924852103192</v>
      </c>
      <c r="BE44" s="69">
        <f t="shared" si="84"/>
        <v>0.81663746515117963</v>
      </c>
      <c r="BF44" s="69">
        <f t="shared" si="84"/>
        <v>4.5605311764351635</v>
      </c>
      <c r="BG44" s="199">
        <f t="shared" si="84"/>
        <v>9.9075908344785724</v>
      </c>
      <c r="BH44" s="199"/>
      <c r="BI44" s="70"/>
      <c r="BJ44" s="60" t="s">
        <v>226</v>
      </c>
      <c r="BK44" s="71">
        <f t="shared" si="85"/>
        <v>0.11475924852103192</v>
      </c>
      <c r="BL44" s="71">
        <f t="shared" si="85"/>
        <v>0.70187821663014771</v>
      </c>
      <c r="BM44" s="71">
        <f t="shared" si="85"/>
        <v>3.7438937112839832</v>
      </c>
      <c r="BN44" s="200">
        <f t="shared" si="85"/>
        <v>5.3470596580434098</v>
      </c>
      <c r="BO44" s="200"/>
      <c r="BP44" s="200"/>
      <c r="BQ44" s="276">
        <f t="shared" si="86"/>
        <v>0</v>
      </c>
      <c r="BR44" s="67">
        <f t="shared" si="87"/>
        <v>0</v>
      </c>
      <c r="BS44" s="67">
        <f t="shared" si="88"/>
        <v>2.3529411764705882E-2</v>
      </c>
      <c r="BT44" s="67"/>
      <c r="BU44" s="68"/>
      <c r="BV44" s="175"/>
      <c r="BW44" s="73"/>
    </row>
    <row r="45" spans="1:75" x14ac:dyDescent="0.25">
      <c r="A45" s="13">
        <v>36</v>
      </c>
      <c r="B45" s="59" t="s">
        <v>377</v>
      </c>
      <c r="C45" s="60"/>
      <c r="D45" s="61"/>
      <c r="E45" s="61"/>
      <c r="F45" s="145"/>
      <c r="G45" s="62">
        <v>0</v>
      </c>
      <c r="H45" s="60"/>
      <c r="I45" s="61"/>
      <c r="J45" s="61"/>
      <c r="K45" s="145"/>
      <c r="L45" s="62">
        <v>151</v>
      </c>
      <c r="M45" s="60"/>
      <c r="N45" s="61"/>
      <c r="O45" s="61"/>
      <c r="P45" s="145"/>
      <c r="Q45" s="62">
        <v>21</v>
      </c>
      <c r="R45" s="60"/>
      <c r="S45" s="61"/>
      <c r="T45" s="61"/>
      <c r="U45" s="61"/>
      <c r="V45" s="61"/>
      <c r="W45" s="145"/>
      <c r="X45" s="62">
        <v>1</v>
      </c>
      <c r="Y45" s="60"/>
      <c r="Z45" s="61"/>
      <c r="AA45" s="61"/>
      <c r="AB45" s="145"/>
      <c r="AC45" s="61"/>
      <c r="AD45" s="91"/>
      <c r="AE45" s="61"/>
      <c r="AF45" s="152"/>
      <c r="AG45" s="64">
        <v>33</v>
      </c>
      <c r="AH45" s="270"/>
      <c r="AI45" s="65"/>
      <c r="AJ45" s="65"/>
      <c r="AK45" s="65"/>
      <c r="AL45" s="65"/>
      <c r="AM45" s="196"/>
      <c r="AN45" s="66">
        <v>42542</v>
      </c>
      <c r="AO45" s="270"/>
      <c r="AP45" s="65"/>
      <c r="AQ45" s="65"/>
      <c r="AR45" s="65"/>
      <c r="AS45" s="65"/>
      <c r="AT45" s="196"/>
      <c r="AU45" s="66">
        <v>4863</v>
      </c>
      <c r="AV45" s="276"/>
      <c r="AW45" s="67"/>
      <c r="AX45" s="67"/>
      <c r="AY45" s="67"/>
      <c r="AZ45" s="67"/>
      <c r="BA45" s="190"/>
      <c r="BB45" s="68">
        <f t="shared" si="7"/>
        <v>0.11431056367824738</v>
      </c>
      <c r="BC45" s="276" t="s">
        <v>226</v>
      </c>
      <c r="BD45" s="69"/>
      <c r="BE45" s="69"/>
      <c r="BF45" s="69"/>
      <c r="BG45" s="69"/>
      <c r="BH45" s="199"/>
      <c r="BI45" s="70"/>
      <c r="BJ45" s="60" t="s">
        <v>226</v>
      </c>
      <c r="BK45" s="71"/>
      <c r="BL45" s="71"/>
      <c r="BM45" s="71"/>
      <c r="BN45" s="71"/>
      <c r="BO45" s="200"/>
      <c r="BP45" s="72"/>
      <c r="BQ45" s="276"/>
      <c r="BR45" s="67"/>
      <c r="BS45" s="67"/>
      <c r="BT45" s="190"/>
      <c r="BU45" s="68">
        <f t="shared" si="12"/>
        <v>4.7619047619047616E-2</v>
      </c>
      <c r="BV45" s="175"/>
      <c r="BW45" s="73"/>
    </row>
    <row r="46" spans="1:75" x14ac:dyDescent="0.25">
      <c r="A46" s="13">
        <v>36</v>
      </c>
      <c r="B46" s="59" t="s">
        <v>378</v>
      </c>
      <c r="C46" s="60"/>
      <c r="D46" s="61"/>
      <c r="E46" s="61"/>
      <c r="F46" s="145"/>
      <c r="G46" s="62">
        <v>0</v>
      </c>
      <c r="H46" s="60"/>
      <c r="I46" s="61"/>
      <c r="J46" s="61"/>
      <c r="K46" s="145"/>
      <c r="L46" s="62">
        <v>77</v>
      </c>
      <c r="M46" s="60"/>
      <c r="N46" s="61"/>
      <c r="O46" s="61"/>
      <c r="P46" s="145"/>
      <c r="Q46" s="62">
        <v>12</v>
      </c>
      <c r="R46" s="60"/>
      <c r="S46" s="61"/>
      <c r="T46" s="61"/>
      <c r="U46" s="61"/>
      <c r="V46" s="61"/>
      <c r="W46" s="145"/>
      <c r="X46" s="62">
        <v>0</v>
      </c>
      <c r="Y46" s="60"/>
      <c r="Z46" s="61"/>
      <c r="AA46" s="61"/>
      <c r="AB46" s="145"/>
      <c r="AC46" s="61"/>
      <c r="AD46" s="91"/>
      <c r="AE46" s="61"/>
      <c r="AF46" s="152"/>
      <c r="AG46" s="64">
        <v>41.66</v>
      </c>
      <c r="AH46" s="270"/>
      <c r="AI46" s="65"/>
      <c r="AJ46" s="65"/>
      <c r="AK46" s="65"/>
      <c r="AL46" s="65"/>
      <c r="AM46" s="196"/>
      <c r="AN46" s="66">
        <v>13263</v>
      </c>
      <c r="AO46" s="270"/>
      <c r="AP46" s="65"/>
      <c r="AQ46" s="65"/>
      <c r="AR46" s="65"/>
      <c r="AS46" s="65"/>
      <c r="AT46" s="196"/>
      <c r="AU46" s="66">
        <v>1924</v>
      </c>
      <c r="AV46" s="276"/>
      <c r="AW46" s="67"/>
      <c r="AX46" s="67"/>
      <c r="AY46" s="67"/>
      <c r="AZ46" s="67"/>
      <c r="BA46" s="190"/>
      <c r="BB46" s="68">
        <f t="shared" si="7"/>
        <v>0.14506521903038527</v>
      </c>
      <c r="BC46" s="276"/>
      <c r="BD46" s="69"/>
      <c r="BE46" s="69"/>
      <c r="BF46" s="69"/>
      <c r="BG46" s="69"/>
      <c r="BH46" s="199"/>
      <c r="BI46" s="70"/>
      <c r="BJ46" s="60"/>
      <c r="BK46" s="71"/>
      <c r="BL46" s="71"/>
      <c r="BM46" s="71"/>
      <c r="BN46" s="71"/>
      <c r="BO46" s="200"/>
      <c r="BP46" s="72"/>
      <c r="BQ46" s="276"/>
      <c r="BR46" s="67"/>
      <c r="BS46" s="67"/>
      <c r="BT46" s="190"/>
      <c r="BU46" s="68">
        <f t="shared" si="12"/>
        <v>0</v>
      </c>
      <c r="BV46" s="175"/>
      <c r="BW46" s="73"/>
    </row>
    <row r="47" spans="1:75" x14ac:dyDescent="0.25">
      <c r="A47" s="13">
        <v>37</v>
      </c>
      <c r="B47" s="59" t="s">
        <v>20</v>
      </c>
      <c r="C47" s="60">
        <v>0</v>
      </c>
      <c r="D47" s="61">
        <v>0</v>
      </c>
      <c r="E47" s="145">
        <v>0</v>
      </c>
      <c r="F47" s="145"/>
      <c r="G47" s="62"/>
      <c r="H47" s="60">
        <v>26</v>
      </c>
      <c r="I47" s="61">
        <v>365</v>
      </c>
      <c r="J47" s="145">
        <v>365</v>
      </c>
      <c r="K47" s="145"/>
      <c r="L47" s="62"/>
      <c r="M47" s="60">
        <v>3</v>
      </c>
      <c r="N47" s="61">
        <v>49</v>
      </c>
      <c r="O47" s="145">
        <v>118</v>
      </c>
      <c r="P47" s="145"/>
      <c r="Q47" s="62"/>
      <c r="R47" s="60">
        <v>0</v>
      </c>
      <c r="S47" s="61">
        <v>0</v>
      </c>
      <c r="T47" s="61">
        <v>3</v>
      </c>
      <c r="U47" s="61">
        <v>0</v>
      </c>
      <c r="V47" s="145">
        <v>0</v>
      </c>
      <c r="W47" s="145"/>
      <c r="X47" s="62"/>
      <c r="Y47" s="60">
        <v>38.090000000000003</v>
      </c>
      <c r="Z47" s="61">
        <v>38.090000000000003</v>
      </c>
      <c r="AA47" s="61">
        <v>38.090000000000003</v>
      </c>
      <c r="AB47" s="61">
        <v>38.090000000000003</v>
      </c>
      <c r="AC47" s="61">
        <v>38.090000000000003</v>
      </c>
      <c r="AD47" s="61"/>
      <c r="AE47" s="61"/>
      <c r="AF47" s="61"/>
      <c r="AG47" s="62"/>
      <c r="AH47" s="270"/>
      <c r="AI47" s="65"/>
      <c r="AJ47" s="65">
        <v>7907</v>
      </c>
      <c r="AK47" s="65">
        <v>8799</v>
      </c>
      <c r="AL47" s="196">
        <v>130580</v>
      </c>
      <c r="AM47" s="196"/>
      <c r="AN47" s="66"/>
      <c r="AO47" s="270"/>
      <c r="AP47" s="65"/>
      <c r="AQ47" s="65">
        <v>3334</v>
      </c>
      <c r="AR47" s="65">
        <v>5155</v>
      </c>
      <c r="AS47" s="196">
        <v>27124</v>
      </c>
      <c r="AT47" s="196"/>
      <c r="AU47" s="66"/>
      <c r="AV47" s="276"/>
      <c r="AW47" s="67"/>
      <c r="AX47" s="67">
        <f t="shared" ref="AX47:AZ49" si="97">AQ47/AJ47</f>
        <v>0.42165170102440874</v>
      </c>
      <c r="AY47" s="67">
        <f t="shared" si="97"/>
        <v>0.5858620297761109</v>
      </c>
      <c r="AZ47" s="190">
        <f t="shared" si="97"/>
        <v>0.20771940572828917</v>
      </c>
      <c r="BA47" s="190"/>
      <c r="BB47" s="190"/>
      <c r="BC47" s="276" t="s">
        <v>226</v>
      </c>
      <c r="BD47" s="69"/>
      <c r="BE47" s="69"/>
      <c r="BF47" s="69"/>
      <c r="BG47" s="199"/>
      <c r="BH47" s="199"/>
      <c r="BI47" s="70"/>
      <c r="BJ47" s="60" t="s">
        <v>226</v>
      </c>
      <c r="BK47" s="71"/>
      <c r="BL47" s="71"/>
      <c r="BM47" s="71">
        <f t="shared" ref="BM47:BN49" si="98">(AY47-AX47)*100</f>
        <v>16.421032875170216</v>
      </c>
      <c r="BN47" s="200">
        <f t="shared" si="98"/>
        <v>-37.81426240478217</v>
      </c>
      <c r="BO47" s="200"/>
      <c r="BP47" s="200"/>
      <c r="BQ47" s="276">
        <f t="shared" si="86"/>
        <v>1</v>
      </c>
      <c r="BR47" s="67">
        <f t="shared" si="87"/>
        <v>0</v>
      </c>
      <c r="BS47" s="67">
        <f t="shared" si="88"/>
        <v>0</v>
      </c>
      <c r="BT47" s="67"/>
      <c r="BU47" s="68"/>
      <c r="BV47" s="175"/>
      <c r="BW47" s="73"/>
    </row>
    <row r="48" spans="1:75" x14ac:dyDescent="0.25">
      <c r="A48" s="13">
        <v>38</v>
      </c>
      <c r="B48" s="59" t="s">
        <v>209</v>
      </c>
      <c r="C48" s="60">
        <v>0</v>
      </c>
      <c r="D48" s="61">
        <v>0</v>
      </c>
      <c r="E48" s="61">
        <v>0</v>
      </c>
      <c r="F48" s="145">
        <v>0</v>
      </c>
      <c r="G48" s="62"/>
      <c r="H48" s="60">
        <v>191</v>
      </c>
      <c r="I48" s="61">
        <v>191</v>
      </c>
      <c r="J48" s="61">
        <v>191</v>
      </c>
      <c r="K48" s="145">
        <v>191</v>
      </c>
      <c r="L48" s="62"/>
      <c r="M48" s="60">
        <v>74</v>
      </c>
      <c r="N48" s="61">
        <v>111</v>
      </c>
      <c r="O48" s="61">
        <v>117</v>
      </c>
      <c r="P48" s="145">
        <v>36</v>
      </c>
      <c r="Q48" s="62"/>
      <c r="R48" s="60">
        <v>0</v>
      </c>
      <c r="S48" s="61">
        <v>7</v>
      </c>
      <c r="T48" s="61">
        <v>0</v>
      </c>
      <c r="U48" s="61">
        <v>33</v>
      </c>
      <c r="V48" s="61">
        <v>24</v>
      </c>
      <c r="W48" s="145">
        <v>3</v>
      </c>
      <c r="X48" s="62"/>
      <c r="Y48" s="60">
        <v>21.82</v>
      </c>
      <c r="Z48" s="61">
        <v>22.84</v>
      </c>
      <c r="AA48" s="61">
        <v>28.68</v>
      </c>
      <c r="AB48" s="145">
        <v>31.82</v>
      </c>
      <c r="AC48" s="61">
        <v>30.15</v>
      </c>
      <c r="AD48" s="61"/>
      <c r="AE48" s="61"/>
      <c r="AF48" s="63">
        <v>31.26</v>
      </c>
      <c r="AG48" s="64"/>
      <c r="AH48" s="270">
        <v>11035</v>
      </c>
      <c r="AI48" s="65">
        <v>12388</v>
      </c>
      <c r="AJ48" s="65">
        <v>21708</v>
      </c>
      <c r="AK48" s="65">
        <v>69731</v>
      </c>
      <c r="AL48" s="65">
        <v>63971</v>
      </c>
      <c r="AM48" s="196">
        <v>62092</v>
      </c>
      <c r="AN48" s="66"/>
      <c r="AO48" s="270">
        <v>5536</v>
      </c>
      <c r="AP48" s="65">
        <v>1</v>
      </c>
      <c r="AQ48" s="65">
        <v>1</v>
      </c>
      <c r="AR48" s="65">
        <v>3272</v>
      </c>
      <c r="AS48" s="65">
        <v>17852</v>
      </c>
      <c r="AT48" s="196">
        <v>19254</v>
      </c>
      <c r="AU48" s="66"/>
      <c r="AV48" s="276">
        <f>AO48/AH48</f>
        <v>0.50167648391481645</v>
      </c>
      <c r="AW48" s="67">
        <f>AP48/AI48</f>
        <v>8.0723280594123341E-5</v>
      </c>
      <c r="AX48" s="67">
        <f t="shared" si="97"/>
        <v>4.6065966463976415E-5</v>
      </c>
      <c r="AY48" s="67">
        <f t="shared" si="97"/>
        <v>4.6923176205704777E-2</v>
      </c>
      <c r="AZ48" s="67">
        <f t="shared" si="97"/>
        <v>0.27906395085273017</v>
      </c>
      <c r="BA48" s="190">
        <v>0.31</v>
      </c>
      <c r="BB48" s="190"/>
      <c r="BC48" s="276" t="s">
        <v>226</v>
      </c>
      <c r="BD48" s="69">
        <f t="shared" ref="BD48:BH49" si="99">(AW48-$AV48)*100</f>
        <v>-50.159576063422229</v>
      </c>
      <c r="BE48" s="69">
        <f t="shared" si="99"/>
        <v>-50.163041794835252</v>
      </c>
      <c r="BF48" s="69">
        <f t="shared" si="99"/>
        <v>-45.475330770911164</v>
      </c>
      <c r="BG48" s="69">
        <f t="shared" si="99"/>
        <v>-22.26125330620863</v>
      </c>
      <c r="BH48" s="199">
        <f t="shared" si="99"/>
        <v>-19.167648391481645</v>
      </c>
      <c r="BI48" s="70"/>
      <c r="BJ48" s="60" t="s">
        <v>226</v>
      </c>
      <c r="BK48" s="71">
        <f>(AW48-AV48)*100</f>
        <v>-50.159576063422229</v>
      </c>
      <c r="BL48" s="71">
        <f>(AX48-AW48)*100</f>
        <v>-3.4657314130146929E-3</v>
      </c>
      <c r="BM48" s="71">
        <f t="shared" si="98"/>
        <v>4.6877110239240798</v>
      </c>
      <c r="BN48" s="71">
        <f t="shared" si="98"/>
        <v>23.214077464702541</v>
      </c>
      <c r="BO48" s="200">
        <f>(BA48-AZ48)*100</f>
        <v>3.0936049147269831</v>
      </c>
      <c r="BP48" s="200"/>
      <c r="BQ48" s="276">
        <f t="shared" si="86"/>
        <v>0</v>
      </c>
      <c r="BR48" s="67">
        <f t="shared" si="87"/>
        <v>0.29729729729729731</v>
      </c>
      <c r="BS48" s="67">
        <f t="shared" si="88"/>
        <v>0.20512820512820512</v>
      </c>
      <c r="BT48" s="67">
        <f>W48/P48</f>
        <v>8.3333333333333329E-2</v>
      </c>
      <c r="BU48" s="68"/>
      <c r="BV48" s="175"/>
      <c r="BW48" s="73"/>
    </row>
    <row r="49" spans="1:75" x14ac:dyDescent="0.25">
      <c r="A49" s="13">
        <v>38</v>
      </c>
      <c r="B49" s="59" t="s">
        <v>161</v>
      </c>
      <c r="C49" s="60">
        <v>2</v>
      </c>
      <c r="D49" s="61">
        <v>2</v>
      </c>
      <c r="E49" s="61">
        <v>2</v>
      </c>
      <c r="F49" s="145">
        <v>0</v>
      </c>
      <c r="G49" s="62"/>
      <c r="H49" s="60">
        <v>125</v>
      </c>
      <c r="I49" s="61">
        <v>122</v>
      </c>
      <c r="J49" s="61">
        <v>116</v>
      </c>
      <c r="K49" s="145">
        <v>54</v>
      </c>
      <c r="L49" s="62"/>
      <c r="M49" s="60">
        <v>32</v>
      </c>
      <c r="N49" s="61">
        <v>59</v>
      </c>
      <c r="O49" s="61">
        <v>71</v>
      </c>
      <c r="P49" s="145">
        <v>25</v>
      </c>
      <c r="Q49" s="62"/>
      <c r="R49" s="60">
        <v>5</v>
      </c>
      <c r="S49" s="61">
        <v>10</v>
      </c>
      <c r="T49" s="61">
        <v>3</v>
      </c>
      <c r="U49" s="61">
        <v>3</v>
      </c>
      <c r="V49" s="61">
        <v>28</v>
      </c>
      <c r="W49" s="145">
        <v>0</v>
      </c>
      <c r="X49" s="62"/>
      <c r="Y49" s="60" t="s">
        <v>133</v>
      </c>
      <c r="Z49" s="61" t="s">
        <v>133</v>
      </c>
      <c r="AA49" s="61" t="s">
        <v>160</v>
      </c>
      <c r="AB49" s="145" t="s">
        <v>160</v>
      </c>
      <c r="AC49" s="61" t="s">
        <v>160</v>
      </c>
      <c r="AD49" s="61">
        <v>0.84</v>
      </c>
      <c r="AE49" s="61">
        <v>0.84</v>
      </c>
      <c r="AF49" s="61" t="s">
        <v>160</v>
      </c>
      <c r="AG49" s="62"/>
      <c r="AH49" s="270">
        <v>10765</v>
      </c>
      <c r="AI49" s="65">
        <v>10765</v>
      </c>
      <c r="AJ49" s="65">
        <v>12472</v>
      </c>
      <c r="AK49" s="65">
        <v>13128</v>
      </c>
      <c r="AL49" s="65">
        <v>13128</v>
      </c>
      <c r="AM49" s="196">
        <v>12400</v>
      </c>
      <c r="AN49" s="66"/>
      <c r="AO49" s="270">
        <v>1519</v>
      </c>
      <c r="AP49" s="65">
        <v>1911</v>
      </c>
      <c r="AQ49" s="65">
        <v>1806</v>
      </c>
      <c r="AR49" s="65">
        <v>3212</v>
      </c>
      <c r="AS49" s="65">
        <v>4851</v>
      </c>
      <c r="AT49" s="196">
        <v>5930</v>
      </c>
      <c r="AU49" s="66"/>
      <c r="AV49" s="276">
        <f>AO49/AH49</f>
        <v>0.14110543427775196</v>
      </c>
      <c r="AW49" s="67">
        <f>AP49/AI49</f>
        <v>0.177519739897817</v>
      </c>
      <c r="AX49" s="67">
        <f t="shared" si="97"/>
        <v>0.14480436177036562</v>
      </c>
      <c r="AY49" s="67">
        <f t="shared" si="97"/>
        <v>0.24466788543570994</v>
      </c>
      <c r="AZ49" s="67">
        <f t="shared" si="97"/>
        <v>0.36951553930530162</v>
      </c>
      <c r="BA49" s="190">
        <v>0.48</v>
      </c>
      <c r="BB49" s="190"/>
      <c r="BC49" s="276" t="s">
        <v>226</v>
      </c>
      <c r="BD49" s="69">
        <f t="shared" si="99"/>
        <v>3.6414305620065033</v>
      </c>
      <c r="BE49" s="69">
        <f t="shared" si="99"/>
        <v>0.36989274926136628</v>
      </c>
      <c r="BF49" s="69">
        <f t="shared" si="99"/>
        <v>10.356245115795797</v>
      </c>
      <c r="BG49" s="69">
        <f t="shared" si="99"/>
        <v>22.841010502754965</v>
      </c>
      <c r="BH49" s="199">
        <f t="shared" si="99"/>
        <v>33.889456572224802</v>
      </c>
      <c r="BI49" s="70"/>
      <c r="BJ49" s="60" t="s">
        <v>226</v>
      </c>
      <c r="BK49" s="71">
        <f>(AW49-AV49)*100</f>
        <v>3.6414305620065033</v>
      </c>
      <c r="BL49" s="71">
        <f>(AX49-AW49)*100</f>
        <v>-3.2715378127451373</v>
      </c>
      <c r="BM49" s="71">
        <f t="shared" si="98"/>
        <v>9.9863523665344314</v>
      </c>
      <c r="BN49" s="71">
        <f t="shared" si="98"/>
        <v>12.484765386959168</v>
      </c>
      <c r="BO49" s="200">
        <f>(BA49-AZ49)*100</f>
        <v>11.048446069469836</v>
      </c>
      <c r="BP49" s="200"/>
      <c r="BQ49" s="276">
        <f t="shared" si="86"/>
        <v>9.375E-2</v>
      </c>
      <c r="BR49" s="67">
        <f t="shared" si="87"/>
        <v>5.0847457627118647E-2</v>
      </c>
      <c r="BS49" s="67">
        <f t="shared" si="88"/>
        <v>0.39436619718309857</v>
      </c>
      <c r="BT49" s="67">
        <f>W49/P49</f>
        <v>0</v>
      </c>
      <c r="BU49" s="68"/>
      <c r="BV49" s="175"/>
      <c r="BW49" s="73"/>
    </row>
    <row r="50" spans="1:75" x14ac:dyDescent="0.25">
      <c r="A50" s="13">
        <v>39</v>
      </c>
      <c r="B50" s="59" t="s">
        <v>21</v>
      </c>
      <c r="C50" s="60"/>
      <c r="D50" s="61"/>
      <c r="E50" s="61"/>
      <c r="F50" s="145">
        <v>6</v>
      </c>
      <c r="G50" s="62">
        <v>6</v>
      </c>
      <c r="H50" s="60"/>
      <c r="I50" s="61"/>
      <c r="J50" s="61"/>
      <c r="K50" s="145">
        <v>106</v>
      </c>
      <c r="L50" s="62">
        <v>106</v>
      </c>
      <c r="M50" s="60"/>
      <c r="N50" s="61"/>
      <c r="O50" s="61"/>
      <c r="P50" s="145">
        <v>52</v>
      </c>
      <c r="Q50" s="62">
        <v>41</v>
      </c>
      <c r="R50" s="60"/>
      <c r="S50" s="61"/>
      <c r="T50" s="61"/>
      <c r="U50" s="61"/>
      <c r="V50" s="61"/>
      <c r="W50" s="145">
        <v>7</v>
      </c>
      <c r="X50" s="62">
        <v>4</v>
      </c>
      <c r="Y50" s="60"/>
      <c r="Z50" s="61"/>
      <c r="AA50" s="61"/>
      <c r="AB50" s="145"/>
      <c r="AC50" s="61"/>
      <c r="AD50" s="91"/>
      <c r="AE50" s="61"/>
      <c r="AF50" s="152"/>
      <c r="AG50" s="64">
        <v>34.64</v>
      </c>
      <c r="AH50" s="270"/>
      <c r="AI50" s="65"/>
      <c r="AJ50" s="65"/>
      <c r="AK50" s="65"/>
      <c r="AL50" s="65"/>
      <c r="AM50" s="196">
        <v>53020</v>
      </c>
      <c r="AN50" s="66">
        <v>48136</v>
      </c>
      <c r="AO50" s="270"/>
      <c r="AP50" s="65"/>
      <c r="AQ50" s="65"/>
      <c r="AR50" s="65"/>
      <c r="AS50" s="65"/>
      <c r="AT50" s="196">
        <v>18254</v>
      </c>
      <c r="AU50" s="66">
        <v>17179</v>
      </c>
      <c r="AV50" s="276"/>
      <c r="AW50" s="67"/>
      <c r="AX50" s="67"/>
      <c r="AY50" s="67"/>
      <c r="AZ50" s="67"/>
      <c r="BA50" s="190">
        <f t="shared" ref="BA50" si="100">AT50/AM50</f>
        <v>0.34428517540550735</v>
      </c>
      <c r="BB50" s="68">
        <f t="shared" si="7"/>
        <v>0.35688466012963271</v>
      </c>
      <c r="BC50" s="276" t="s">
        <v>226</v>
      </c>
      <c r="BD50" s="69"/>
      <c r="BE50" s="69"/>
      <c r="BF50" s="69"/>
      <c r="BG50" s="69"/>
      <c r="BH50" s="199"/>
      <c r="BI50" s="70"/>
      <c r="BJ50" s="60" t="s">
        <v>226</v>
      </c>
      <c r="BK50" s="71"/>
      <c r="BL50" s="71"/>
      <c r="BM50" s="71"/>
      <c r="BN50" s="71"/>
      <c r="BO50" s="200"/>
      <c r="BP50" s="72">
        <f t="shared" si="56"/>
        <v>1.2599484724125365</v>
      </c>
      <c r="BQ50" s="276"/>
      <c r="BR50" s="67"/>
      <c r="BS50" s="67"/>
      <c r="BT50" s="190">
        <f t="shared" ref="BT50" si="101">W50/P50</f>
        <v>0.13461538461538461</v>
      </c>
      <c r="BU50" s="68">
        <f t="shared" si="12"/>
        <v>9.7560975609756101E-2</v>
      </c>
      <c r="BV50" s="175"/>
      <c r="BW50" s="73">
        <f t="shared" si="14"/>
        <v>-0.21153846153846154</v>
      </c>
    </row>
    <row r="51" spans="1:75" x14ac:dyDescent="0.25">
      <c r="A51" s="13">
        <v>40</v>
      </c>
      <c r="B51" s="59" t="s">
        <v>22</v>
      </c>
      <c r="C51" s="60"/>
      <c r="D51" s="61"/>
      <c r="E51" s="61"/>
      <c r="F51" s="145">
        <v>12</v>
      </c>
      <c r="G51" s="62">
        <v>0</v>
      </c>
      <c r="H51" s="60"/>
      <c r="I51" s="61"/>
      <c r="J51" s="61"/>
      <c r="K51" s="145">
        <v>163</v>
      </c>
      <c r="L51" s="62">
        <v>169</v>
      </c>
      <c r="M51" s="60"/>
      <c r="N51" s="61"/>
      <c r="O51" s="61"/>
      <c r="P51" s="145">
        <v>61</v>
      </c>
      <c r="Q51" s="62">
        <v>60</v>
      </c>
      <c r="R51" s="60"/>
      <c r="S51" s="61"/>
      <c r="T51" s="61"/>
      <c r="U51" s="61"/>
      <c r="V51" s="61"/>
      <c r="W51" s="145">
        <v>1</v>
      </c>
      <c r="X51" s="62">
        <v>0</v>
      </c>
      <c r="Y51" s="60"/>
      <c r="Z51" s="61"/>
      <c r="AA51" s="61"/>
      <c r="AB51" s="145"/>
      <c r="AC51" s="61"/>
      <c r="AD51" s="91"/>
      <c r="AE51" s="61"/>
      <c r="AF51" s="152"/>
      <c r="AG51" s="64" t="s">
        <v>98</v>
      </c>
      <c r="AH51" s="270"/>
      <c r="AI51" s="65"/>
      <c r="AJ51" s="65"/>
      <c r="AK51" s="65"/>
      <c r="AL51" s="65"/>
      <c r="AM51" s="196">
        <v>46371.24</v>
      </c>
      <c r="AN51" s="66">
        <v>58923</v>
      </c>
      <c r="AO51" s="270"/>
      <c r="AP51" s="65"/>
      <c r="AQ51" s="65"/>
      <c r="AR51" s="65"/>
      <c r="AS51" s="65"/>
      <c r="AT51" s="196">
        <v>20224.490000000002</v>
      </c>
      <c r="AU51" s="66">
        <v>24935</v>
      </c>
      <c r="AV51" s="276"/>
      <c r="AW51" s="67"/>
      <c r="AX51" s="67"/>
      <c r="AY51" s="67"/>
      <c r="AZ51" s="67"/>
      <c r="BA51" s="190">
        <f t="shared" ref="BA51" si="102">AT51/AM51</f>
        <v>0.43614296275018744</v>
      </c>
      <c r="BB51" s="68">
        <f t="shared" si="7"/>
        <v>0.42317940362846429</v>
      </c>
      <c r="BC51" s="276" t="s">
        <v>226</v>
      </c>
      <c r="BD51" s="69"/>
      <c r="BE51" s="69"/>
      <c r="BF51" s="69"/>
      <c r="BG51" s="69"/>
      <c r="BH51" s="199"/>
      <c r="BI51" s="70"/>
      <c r="BJ51" s="60" t="s">
        <v>226</v>
      </c>
      <c r="BK51" s="71"/>
      <c r="BL51" s="71"/>
      <c r="BM51" s="71"/>
      <c r="BN51" s="71"/>
      <c r="BO51" s="200"/>
      <c r="BP51" s="72">
        <f t="shared" si="56"/>
        <v>-1.2963559121723145</v>
      </c>
      <c r="BQ51" s="276"/>
      <c r="BR51" s="67"/>
      <c r="BS51" s="67"/>
      <c r="BT51" s="190">
        <f t="shared" ref="BT51" si="103">W51/P51</f>
        <v>1.6393442622950821E-2</v>
      </c>
      <c r="BU51" s="68">
        <f t="shared" si="12"/>
        <v>0</v>
      </c>
      <c r="BV51" s="175"/>
      <c r="BW51" s="73">
        <f t="shared" si="14"/>
        <v>-1.6393442622950821E-2</v>
      </c>
    </row>
    <row r="52" spans="1:75" s="1" customFormat="1" x14ac:dyDescent="0.25">
      <c r="A52" s="13">
        <v>41</v>
      </c>
      <c r="B52" s="59" t="s">
        <v>381</v>
      </c>
      <c r="C52" s="60"/>
      <c r="D52" s="61"/>
      <c r="E52" s="61"/>
      <c r="F52" s="145"/>
      <c r="G52" s="62">
        <v>4</v>
      </c>
      <c r="H52" s="60"/>
      <c r="I52" s="61"/>
      <c r="J52" s="61"/>
      <c r="K52" s="145"/>
      <c r="L52" s="62">
        <v>66</v>
      </c>
      <c r="M52" s="60"/>
      <c r="N52" s="61"/>
      <c r="O52" s="61"/>
      <c r="P52" s="145"/>
      <c r="Q52" s="62">
        <v>36</v>
      </c>
      <c r="R52" s="60"/>
      <c r="S52" s="61"/>
      <c r="T52" s="61"/>
      <c r="U52" s="61"/>
      <c r="V52" s="61"/>
      <c r="W52" s="145"/>
      <c r="X52" s="62">
        <v>22</v>
      </c>
      <c r="Y52" s="60"/>
      <c r="Z52" s="61"/>
      <c r="AA52" s="61"/>
      <c r="AB52" s="145"/>
      <c r="AC52" s="61"/>
      <c r="AD52" s="91"/>
      <c r="AE52" s="61"/>
      <c r="AF52" s="152"/>
      <c r="AG52" s="64" t="s">
        <v>390</v>
      </c>
      <c r="AH52" s="270"/>
      <c r="AI52" s="65"/>
      <c r="AJ52" s="65"/>
      <c r="AK52" s="65"/>
      <c r="AL52" s="65"/>
      <c r="AM52" s="196"/>
      <c r="AN52" s="66">
        <v>25002</v>
      </c>
      <c r="AO52" s="270"/>
      <c r="AP52" s="65"/>
      <c r="AQ52" s="65"/>
      <c r="AR52" s="65"/>
      <c r="AS52" s="65"/>
      <c r="AT52" s="196"/>
      <c r="AU52" s="66">
        <v>3070.4</v>
      </c>
      <c r="AV52" s="276"/>
      <c r="AW52" s="67"/>
      <c r="AX52" s="67"/>
      <c r="AY52" s="67"/>
      <c r="AZ52" s="67"/>
      <c r="BA52" s="190"/>
      <c r="BB52" s="68">
        <f t="shared" si="7"/>
        <v>0.12280617550595953</v>
      </c>
      <c r="BC52" s="276" t="s">
        <v>226</v>
      </c>
      <c r="BD52" s="69"/>
      <c r="BE52" s="69"/>
      <c r="BF52" s="69"/>
      <c r="BG52" s="69"/>
      <c r="BH52" s="199"/>
      <c r="BI52" s="70"/>
      <c r="BJ52" s="60" t="s">
        <v>226</v>
      </c>
      <c r="BK52" s="71"/>
      <c r="BL52" s="71"/>
      <c r="BM52" s="71"/>
      <c r="BN52" s="71"/>
      <c r="BO52" s="200"/>
      <c r="BP52" s="72"/>
      <c r="BQ52" s="276"/>
      <c r="BR52" s="67"/>
      <c r="BS52" s="67"/>
      <c r="BT52" s="190"/>
      <c r="BU52" s="68">
        <f t="shared" si="12"/>
        <v>0.61111111111111116</v>
      </c>
      <c r="BV52" s="175"/>
      <c r="BW52" s="73"/>
    </row>
    <row r="53" spans="1:75" x14ac:dyDescent="0.25">
      <c r="A53" s="13">
        <v>41</v>
      </c>
      <c r="B53" s="59" t="s">
        <v>384</v>
      </c>
      <c r="C53" s="60"/>
      <c r="D53" s="61"/>
      <c r="E53" s="61"/>
      <c r="F53" s="145"/>
      <c r="G53" s="62">
        <v>0</v>
      </c>
      <c r="H53" s="60"/>
      <c r="I53" s="61"/>
      <c r="J53" s="61"/>
      <c r="K53" s="145"/>
      <c r="L53" s="62">
        <v>102</v>
      </c>
      <c r="M53" s="60"/>
      <c r="N53" s="61"/>
      <c r="O53" s="61"/>
      <c r="P53" s="145"/>
      <c r="Q53" s="62">
        <v>33</v>
      </c>
      <c r="R53" s="60"/>
      <c r="S53" s="61"/>
      <c r="T53" s="61"/>
      <c r="U53" s="61"/>
      <c r="V53" s="61"/>
      <c r="W53" s="145"/>
      <c r="X53" s="62">
        <v>8</v>
      </c>
      <c r="Y53" s="60"/>
      <c r="Z53" s="61"/>
      <c r="AA53" s="61"/>
      <c r="AB53" s="145"/>
      <c r="AC53" s="61"/>
      <c r="AD53" s="91"/>
      <c r="AE53" s="61"/>
      <c r="AF53" s="152"/>
      <c r="AG53" s="64" t="s">
        <v>385</v>
      </c>
      <c r="AH53" s="270"/>
      <c r="AI53" s="65"/>
      <c r="AJ53" s="65"/>
      <c r="AK53" s="65"/>
      <c r="AL53" s="65"/>
      <c r="AM53" s="196"/>
      <c r="AN53" s="66">
        <v>34284</v>
      </c>
      <c r="AO53" s="270"/>
      <c r="AP53" s="65"/>
      <c r="AQ53" s="65"/>
      <c r="AR53" s="65"/>
      <c r="AS53" s="65"/>
      <c r="AT53" s="196"/>
      <c r="AU53" s="66">
        <v>4149</v>
      </c>
      <c r="AV53" s="276"/>
      <c r="AW53" s="67"/>
      <c r="AX53" s="67"/>
      <c r="AY53" s="67"/>
      <c r="AZ53" s="67"/>
      <c r="BA53" s="190"/>
      <c r="BB53" s="68">
        <f t="shared" si="7"/>
        <v>0.12101855092754638</v>
      </c>
      <c r="BC53" s="276"/>
      <c r="BD53" s="69"/>
      <c r="BE53" s="69"/>
      <c r="BF53" s="69"/>
      <c r="BG53" s="69"/>
      <c r="BH53" s="199"/>
      <c r="BI53" s="70"/>
      <c r="BJ53" s="60"/>
      <c r="BK53" s="71"/>
      <c r="BL53" s="71"/>
      <c r="BM53" s="71"/>
      <c r="BN53" s="71"/>
      <c r="BO53" s="200"/>
      <c r="BP53" s="72"/>
      <c r="BQ53" s="276"/>
      <c r="BR53" s="67"/>
      <c r="BS53" s="67"/>
      <c r="BT53" s="190"/>
      <c r="BU53" s="68">
        <f t="shared" si="12"/>
        <v>0.24242424242424243</v>
      </c>
      <c r="BV53" s="175"/>
      <c r="BW53" s="73"/>
    </row>
    <row r="54" spans="1:75" x14ac:dyDescent="0.25">
      <c r="A54" s="13">
        <v>43</v>
      </c>
      <c r="B54" s="59" t="s">
        <v>292</v>
      </c>
      <c r="C54" s="60">
        <v>0</v>
      </c>
      <c r="D54" s="61">
        <v>3</v>
      </c>
      <c r="E54" s="61">
        <v>3</v>
      </c>
      <c r="F54" s="145"/>
      <c r="G54" s="62"/>
      <c r="H54" s="60">
        <v>298</v>
      </c>
      <c r="I54" s="61">
        <v>127</v>
      </c>
      <c r="J54" s="61">
        <v>127</v>
      </c>
      <c r="K54" s="145"/>
      <c r="L54" s="62"/>
      <c r="M54" s="60">
        <v>18</v>
      </c>
      <c r="N54" s="61">
        <v>29</v>
      </c>
      <c r="O54" s="61">
        <v>0</v>
      </c>
      <c r="P54" s="145"/>
      <c r="Q54" s="62"/>
      <c r="R54" s="60">
        <v>0</v>
      </c>
      <c r="S54" s="61">
        <v>0</v>
      </c>
      <c r="T54" s="61">
        <v>8</v>
      </c>
      <c r="U54" s="61">
        <v>15</v>
      </c>
      <c r="V54" s="61">
        <v>7</v>
      </c>
      <c r="W54" s="145"/>
      <c r="X54" s="62"/>
      <c r="Y54" s="60">
        <v>26.71</v>
      </c>
      <c r="Z54" s="61">
        <v>32.67</v>
      </c>
      <c r="AA54" s="61">
        <v>41.31</v>
      </c>
      <c r="AB54" s="145">
        <v>37.94</v>
      </c>
      <c r="AC54" s="61">
        <v>37.94</v>
      </c>
      <c r="AD54" s="61"/>
      <c r="AE54" s="61"/>
      <c r="AF54" s="63"/>
      <c r="AG54" s="64"/>
      <c r="AH54" s="270">
        <v>37300</v>
      </c>
      <c r="AI54" s="65">
        <v>47750</v>
      </c>
      <c r="AJ54" s="65">
        <v>60160</v>
      </c>
      <c r="AK54" s="65">
        <v>71800</v>
      </c>
      <c r="AL54" s="65">
        <v>74700</v>
      </c>
      <c r="AM54" s="196"/>
      <c r="AN54" s="66"/>
      <c r="AO54" s="270">
        <v>125</v>
      </c>
      <c r="AP54" s="65">
        <v>160</v>
      </c>
      <c r="AQ54" s="65">
        <v>670</v>
      </c>
      <c r="AR54" s="65">
        <v>1900</v>
      </c>
      <c r="AS54" s="65">
        <v>19060</v>
      </c>
      <c r="AT54" s="196"/>
      <c r="AU54" s="66"/>
      <c r="AV54" s="276">
        <v>3.351206434316354E-3</v>
      </c>
      <c r="AW54" s="67">
        <v>3.350785340314136E-3</v>
      </c>
      <c r="AX54" s="67">
        <v>1.1136968085106383E-2</v>
      </c>
      <c r="AY54" s="67">
        <v>2.6462395543175487E-2</v>
      </c>
      <c r="AZ54" s="67">
        <v>0.25515394912985273</v>
      </c>
      <c r="BA54" s="190"/>
      <c r="BB54" s="190"/>
      <c r="BC54" s="276" t="s">
        <v>226</v>
      </c>
      <c r="BD54" s="69">
        <v>-4.2109400221791715E-5</v>
      </c>
      <c r="BE54" s="69">
        <v>0.77857616507900285</v>
      </c>
      <c r="BF54" s="69">
        <v>2.3111189108859134</v>
      </c>
      <c r="BG54" s="69">
        <v>25.180274269553639</v>
      </c>
      <c r="BH54" s="199"/>
      <c r="BI54" s="70"/>
      <c r="BJ54" s="60" t="s">
        <v>226</v>
      </c>
      <c r="BK54" s="71">
        <v>-4.2109400221791715E-5</v>
      </c>
      <c r="BL54" s="71">
        <v>0.7786182744792246</v>
      </c>
      <c r="BM54" s="71">
        <v>1.5325427458069105</v>
      </c>
      <c r="BN54" s="71">
        <v>22.869155358667726</v>
      </c>
      <c r="BO54" s="200"/>
      <c r="BP54" s="200"/>
      <c r="BQ54" s="276">
        <v>0.44444444444444442</v>
      </c>
      <c r="BR54" s="67">
        <v>0.51724137931034486</v>
      </c>
      <c r="BS54" s="67"/>
      <c r="BT54" s="67"/>
      <c r="BU54" s="68"/>
      <c r="BV54" s="175"/>
      <c r="BW54" s="73"/>
    </row>
    <row r="55" spans="1:75" x14ac:dyDescent="0.25">
      <c r="A55" s="13">
        <v>43</v>
      </c>
      <c r="B55" s="59" t="s">
        <v>370</v>
      </c>
      <c r="C55" s="60"/>
      <c r="D55" s="61"/>
      <c r="E55" s="61"/>
      <c r="F55" s="145">
        <v>0</v>
      </c>
      <c r="G55" s="62">
        <v>0</v>
      </c>
      <c r="H55" s="60"/>
      <c r="I55" s="61"/>
      <c r="J55" s="61"/>
      <c r="K55" s="145">
        <v>398</v>
      </c>
      <c r="L55" s="62">
        <v>423</v>
      </c>
      <c r="M55" s="60"/>
      <c r="N55" s="61"/>
      <c r="O55" s="61"/>
      <c r="P55" s="145">
        <v>207</v>
      </c>
      <c r="Q55" s="62">
        <v>112</v>
      </c>
      <c r="R55" s="60"/>
      <c r="S55" s="61"/>
      <c r="T55" s="61"/>
      <c r="U55" s="61"/>
      <c r="V55" s="61"/>
      <c r="W55" s="145">
        <v>0</v>
      </c>
      <c r="X55" s="62">
        <v>16</v>
      </c>
      <c r="Y55" s="60"/>
      <c r="Z55" s="61"/>
      <c r="AA55" s="61"/>
      <c r="AB55" s="145"/>
      <c r="AC55" s="61"/>
      <c r="AD55" s="91"/>
      <c r="AE55" s="61"/>
      <c r="AF55" s="152"/>
      <c r="AG55" s="64">
        <v>37.119999999999997</v>
      </c>
      <c r="AH55" s="270"/>
      <c r="AI55" s="65"/>
      <c r="AJ55" s="65"/>
      <c r="AK55" s="65"/>
      <c r="AL55" s="65"/>
      <c r="AM55" s="196">
        <v>120959</v>
      </c>
      <c r="AN55" s="66">
        <v>113834</v>
      </c>
      <c r="AO55" s="270"/>
      <c r="AP55" s="65"/>
      <c r="AQ55" s="65"/>
      <c r="AR55" s="65"/>
      <c r="AS55" s="65"/>
      <c r="AT55" s="196">
        <v>29862</v>
      </c>
      <c r="AU55" s="66">
        <v>38864</v>
      </c>
      <c r="AV55" s="276"/>
      <c r="AW55" s="67"/>
      <c r="AX55" s="67"/>
      <c r="AY55" s="67"/>
      <c r="AZ55" s="67"/>
      <c r="BA55" s="190">
        <v>0.25</v>
      </c>
      <c r="BB55" s="68">
        <f t="shared" si="7"/>
        <v>0.34140942073545688</v>
      </c>
      <c r="BC55" s="276"/>
      <c r="BD55" s="69"/>
      <c r="BE55" s="69"/>
      <c r="BF55" s="69"/>
      <c r="BG55" s="69"/>
      <c r="BH55" s="199"/>
      <c r="BI55" s="70"/>
      <c r="BJ55" s="60"/>
      <c r="BK55" s="71"/>
      <c r="BL55" s="71"/>
      <c r="BM55" s="71"/>
      <c r="BN55" s="71"/>
      <c r="BO55" s="200"/>
      <c r="BP55" s="72">
        <f t="shared" si="56"/>
        <v>9.1409420735456877</v>
      </c>
      <c r="BQ55" s="276"/>
      <c r="BR55" s="67"/>
      <c r="BS55" s="67"/>
      <c r="BT55" s="190">
        <f t="shared" ref="BT55" si="104">W55/P55</f>
        <v>0</v>
      </c>
      <c r="BU55" s="68">
        <f t="shared" si="12"/>
        <v>0.14285714285714285</v>
      </c>
      <c r="BV55" s="175"/>
      <c r="BW55" s="73">
        <f t="shared" si="14"/>
        <v>-0.45893719806763283</v>
      </c>
    </row>
    <row r="56" spans="1:75" s="22" customFormat="1" x14ac:dyDescent="0.25">
      <c r="A56" s="13">
        <v>44</v>
      </c>
      <c r="B56" s="59" t="s">
        <v>328</v>
      </c>
      <c r="C56" s="60"/>
      <c r="D56" s="61"/>
      <c r="E56" s="61"/>
      <c r="F56" s="145">
        <v>0</v>
      </c>
      <c r="G56" s="62"/>
      <c r="H56" s="60"/>
      <c r="I56" s="61"/>
      <c r="J56" s="61"/>
      <c r="K56" s="145">
        <v>338</v>
      </c>
      <c r="L56" s="62"/>
      <c r="M56" s="60"/>
      <c r="N56" s="61"/>
      <c r="O56" s="61"/>
      <c r="P56" s="145">
        <v>143</v>
      </c>
      <c r="Q56" s="62"/>
      <c r="R56" s="60"/>
      <c r="S56" s="61"/>
      <c r="T56" s="61"/>
      <c r="U56" s="61"/>
      <c r="V56" s="61"/>
      <c r="W56" s="145">
        <v>5</v>
      </c>
      <c r="X56" s="62"/>
      <c r="Y56" s="60"/>
      <c r="Z56" s="61"/>
      <c r="AA56" s="61"/>
      <c r="AB56" s="145"/>
      <c r="AC56" s="61"/>
      <c r="AD56" s="61"/>
      <c r="AE56" s="61"/>
      <c r="AF56" s="63">
        <v>38.229999999999997</v>
      </c>
      <c r="AG56" s="64"/>
      <c r="AH56" s="270"/>
      <c r="AI56" s="65"/>
      <c r="AJ56" s="65"/>
      <c r="AK56" s="65"/>
      <c r="AL56" s="65"/>
      <c r="AM56" s="196">
        <v>110027</v>
      </c>
      <c r="AN56" s="66"/>
      <c r="AO56" s="270"/>
      <c r="AP56" s="65"/>
      <c r="AQ56" s="65"/>
      <c r="AR56" s="65"/>
      <c r="AS56" s="65"/>
      <c r="AT56" s="196">
        <v>39077</v>
      </c>
      <c r="AU56" s="66"/>
      <c r="AV56" s="276"/>
      <c r="AW56" s="67"/>
      <c r="AX56" s="67"/>
      <c r="AY56" s="67"/>
      <c r="AZ56" s="67"/>
      <c r="BA56" s="190">
        <v>0.36</v>
      </c>
      <c r="BB56" s="190"/>
      <c r="BC56" s="276" t="s">
        <v>226</v>
      </c>
      <c r="BD56" s="69"/>
      <c r="BE56" s="69"/>
      <c r="BF56" s="69"/>
      <c r="BG56" s="69"/>
      <c r="BH56" s="199"/>
      <c r="BI56" s="70"/>
      <c r="BJ56" s="60" t="s">
        <v>226</v>
      </c>
      <c r="BK56" s="71"/>
      <c r="BL56" s="71"/>
      <c r="BM56" s="71"/>
      <c r="BN56" s="71"/>
      <c r="BO56" s="200"/>
      <c r="BP56" s="200"/>
      <c r="BQ56" s="276"/>
      <c r="BR56" s="67"/>
      <c r="BS56" s="67"/>
      <c r="BT56" s="67">
        <v>3.4965034965034968E-2</v>
      </c>
      <c r="BU56" s="68"/>
      <c r="BV56" s="175"/>
      <c r="BW56" s="73"/>
    </row>
    <row r="57" spans="1:75" s="22" customFormat="1" x14ac:dyDescent="0.25">
      <c r="A57" s="13">
        <v>46</v>
      </c>
      <c r="B57" s="59" t="s">
        <v>329</v>
      </c>
      <c r="C57" s="60"/>
      <c r="D57" s="61"/>
      <c r="E57" s="61"/>
      <c r="F57" s="145">
        <v>6</v>
      </c>
      <c r="G57" s="62">
        <v>0</v>
      </c>
      <c r="H57" s="60"/>
      <c r="I57" s="61"/>
      <c r="J57" s="61"/>
      <c r="K57" s="145">
        <v>205</v>
      </c>
      <c r="L57" s="62">
        <v>208</v>
      </c>
      <c r="M57" s="60"/>
      <c r="N57" s="61"/>
      <c r="O57" s="61"/>
      <c r="P57" s="145">
        <v>42</v>
      </c>
      <c r="Q57" s="62">
        <v>53</v>
      </c>
      <c r="R57" s="60"/>
      <c r="S57" s="61"/>
      <c r="T57" s="61"/>
      <c r="U57" s="61"/>
      <c r="V57" s="61"/>
      <c r="W57" s="145">
        <v>0</v>
      </c>
      <c r="X57" s="62">
        <v>0</v>
      </c>
      <c r="Y57" s="60"/>
      <c r="Z57" s="61"/>
      <c r="AA57" s="61"/>
      <c r="AB57" s="145"/>
      <c r="AC57" s="61"/>
      <c r="AD57" s="91"/>
      <c r="AE57" s="61"/>
      <c r="AF57" s="152">
        <v>20.16</v>
      </c>
      <c r="AG57" s="64">
        <v>12.15</v>
      </c>
      <c r="AH57" s="270"/>
      <c r="AI57" s="65"/>
      <c r="AJ57" s="65"/>
      <c r="AK57" s="65"/>
      <c r="AL57" s="65"/>
      <c r="AM57" s="196">
        <v>17915.150000000001</v>
      </c>
      <c r="AN57" s="66">
        <v>20005</v>
      </c>
      <c r="AO57" s="270"/>
      <c r="AP57" s="65"/>
      <c r="AQ57" s="65"/>
      <c r="AR57" s="65"/>
      <c r="AS57" s="65"/>
      <c r="AT57" s="196">
        <v>2847.49</v>
      </c>
      <c r="AU57" s="66">
        <v>2657</v>
      </c>
      <c r="AV57" s="276"/>
      <c r="AW57" s="67"/>
      <c r="AX57" s="67"/>
      <c r="AY57" s="67"/>
      <c r="AZ57" s="67"/>
      <c r="BA57" s="190">
        <f t="shared" ref="BA57:BA58" si="105">AT57/AM57</f>
        <v>0.15894312913930386</v>
      </c>
      <c r="BB57" s="68">
        <f t="shared" si="7"/>
        <v>0.13281679580104974</v>
      </c>
      <c r="BC57" s="276"/>
      <c r="BD57" s="69"/>
      <c r="BE57" s="69"/>
      <c r="BF57" s="69"/>
      <c r="BG57" s="69"/>
      <c r="BH57" s="199"/>
      <c r="BI57" s="70"/>
      <c r="BJ57" s="60"/>
      <c r="BK57" s="71"/>
      <c r="BL57" s="71"/>
      <c r="BM57" s="71"/>
      <c r="BN57" s="71"/>
      <c r="BO57" s="200"/>
      <c r="BP57" s="72">
        <f t="shared" si="56"/>
        <v>-2.612633333825412</v>
      </c>
      <c r="BQ57" s="276"/>
      <c r="BR57" s="67"/>
      <c r="BS57" s="67"/>
      <c r="BT57" s="190">
        <f t="shared" ref="BT57:BT58" si="106">W57/P57</f>
        <v>0</v>
      </c>
      <c r="BU57" s="68">
        <f t="shared" si="12"/>
        <v>0</v>
      </c>
      <c r="BV57" s="175"/>
      <c r="BW57" s="73">
        <f t="shared" si="14"/>
        <v>0.26190476190476192</v>
      </c>
    </row>
    <row r="58" spans="1:75" x14ac:dyDescent="0.25">
      <c r="A58" s="13">
        <v>48</v>
      </c>
      <c r="B58" s="59" t="s">
        <v>26</v>
      </c>
      <c r="C58" s="60"/>
      <c r="D58" s="61"/>
      <c r="E58" s="61"/>
      <c r="F58" s="145">
        <v>0</v>
      </c>
      <c r="G58" s="62">
        <v>0</v>
      </c>
      <c r="H58" s="60"/>
      <c r="I58" s="61"/>
      <c r="J58" s="61"/>
      <c r="K58" s="145">
        <v>233</v>
      </c>
      <c r="L58" s="62">
        <v>228</v>
      </c>
      <c r="M58" s="60"/>
      <c r="N58" s="61"/>
      <c r="O58" s="61"/>
      <c r="P58" s="145">
        <v>104</v>
      </c>
      <c r="Q58" s="62">
        <v>52</v>
      </c>
      <c r="R58" s="60"/>
      <c r="S58" s="61"/>
      <c r="T58" s="61"/>
      <c r="U58" s="61"/>
      <c r="V58" s="61"/>
      <c r="W58" s="145">
        <v>0</v>
      </c>
      <c r="X58" s="62">
        <v>1</v>
      </c>
      <c r="Y58" s="60"/>
      <c r="Z58" s="61"/>
      <c r="AA58" s="61"/>
      <c r="AB58" s="145"/>
      <c r="AC58" s="61"/>
      <c r="AD58" s="91"/>
      <c r="AE58" s="61"/>
      <c r="AF58" s="152">
        <v>32.729999999999997</v>
      </c>
      <c r="AG58" s="64">
        <v>38.18</v>
      </c>
      <c r="AH58" s="270"/>
      <c r="AI58" s="65"/>
      <c r="AJ58" s="65"/>
      <c r="AK58" s="65"/>
      <c r="AL58" s="65"/>
      <c r="AM58" s="196">
        <v>74806</v>
      </c>
      <c r="AN58" s="66">
        <v>78712</v>
      </c>
      <c r="AO58" s="270"/>
      <c r="AP58" s="65"/>
      <c r="AQ58" s="65"/>
      <c r="AR58" s="65"/>
      <c r="AS58" s="65"/>
      <c r="AT58" s="196">
        <v>13237</v>
      </c>
      <c r="AU58" s="66">
        <v>48376</v>
      </c>
      <c r="AV58" s="276"/>
      <c r="AW58" s="67"/>
      <c r="AX58" s="67"/>
      <c r="AY58" s="67"/>
      <c r="AZ58" s="67"/>
      <c r="BA58" s="190">
        <f t="shared" si="105"/>
        <v>0.17695104670748335</v>
      </c>
      <c r="BB58" s="68">
        <f t="shared" si="7"/>
        <v>0.61459497916454919</v>
      </c>
      <c r="BC58" s="276" t="s">
        <v>226</v>
      </c>
      <c r="BD58" s="69"/>
      <c r="BE58" s="69"/>
      <c r="BF58" s="69"/>
      <c r="BG58" s="69"/>
      <c r="BH58" s="199"/>
      <c r="BI58" s="70"/>
      <c r="BJ58" s="60" t="s">
        <v>226</v>
      </c>
      <c r="BK58" s="71"/>
      <c r="BL58" s="71"/>
      <c r="BM58" s="71"/>
      <c r="BN58" s="71"/>
      <c r="BO58" s="200"/>
      <c r="BP58" s="72">
        <f t="shared" si="56"/>
        <v>43.764393245706586</v>
      </c>
      <c r="BQ58" s="276"/>
      <c r="BR58" s="67"/>
      <c r="BS58" s="67"/>
      <c r="BT58" s="190">
        <f t="shared" si="106"/>
        <v>0</v>
      </c>
      <c r="BU58" s="68">
        <f t="shared" si="12"/>
        <v>1.9230769230769232E-2</v>
      </c>
      <c r="BV58" s="175">
        <f t="shared" ref="BV58" si="107">(AG58-AF58)/AF58</f>
        <v>0.1665139016193096</v>
      </c>
      <c r="BW58" s="73">
        <f t="shared" si="14"/>
        <v>-0.5</v>
      </c>
    </row>
    <row r="59" spans="1:75" s="22" customFormat="1" x14ac:dyDescent="0.25">
      <c r="A59" s="13">
        <v>49</v>
      </c>
      <c r="B59" s="59" t="s">
        <v>27</v>
      </c>
      <c r="C59" s="60">
        <v>0</v>
      </c>
      <c r="D59" s="61">
        <v>0</v>
      </c>
      <c r="E59" s="61">
        <v>0</v>
      </c>
      <c r="F59" s="145"/>
      <c r="G59" s="62">
        <v>20</v>
      </c>
      <c r="H59" s="60">
        <v>500</v>
      </c>
      <c r="I59" s="61">
        <v>500</v>
      </c>
      <c r="J59" s="61">
        <v>500</v>
      </c>
      <c r="K59" s="145"/>
      <c r="L59" s="62">
        <v>320</v>
      </c>
      <c r="M59" s="60">
        <v>250</v>
      </c>
      <c r="N59" s="61">
        <v>250</v>
      </c>
      <c r="O59" s="61">
        <v>250</v>
      </c>
      <c r="P59" s="145"/>
      <c r="Q59" s="62">
        <v>175</v>
      </c>
      <c r="R59" s="60">
        <v>0</v>
      </c>
      <c r="S59" s="61">
        <v>0</v>
      </c>
      <c r="T59" s="61">
        <v>5</v>
      </c>
      <c r="U59" s="61">
        <v>8</v>
      </c>
      <c r="V59" s="61">
        <v>10</v>
      </c>
      <c r="W59" s="145"/>
      <c r="X59" s="62">
        <v>49</v>
      </c>
      <c r="Y59" s="60"/>
      <c r="Z59" s="61"/>
      <c r="AA59" s="61" t="s">
        <v>151</v>
      </c>
      <c r="AB59" s="145" t="s">
        <v>252</v>
      </c>
      <c r="AC59" s="61" t="s">
        <v>252</v>
      </c>
      <c r="AD59" s="91">
        <v>0.66</v>
      </c>
      <c r="AE59" s="61">
        <v>0.77</v>
      </c>
      <c r="AF59" s="152"/>
      <c r="AG59" s="64">
        <v>33.32</v>
      </c>
      <c r="AH59" s="270"/>
      <c r="AI59" s="65"/>
      <c r="AJ59" s="65"/>
      <c r="AK59" s="65"/>
      <c r="AL59" s="65">
        <v>60966</v>
      </c>
      <c r="AM59" s="196"/>
      <c r="AN59" s="66">
        <v>85065</v>
      </c>
      <c r="AO59" s="270"/>
      <c r="AP59" s="65"/>
      <c r="AQ59" s="65"/>
      <c r="AR59" s="65"/>
      <c r="AS59" s="65"/>
      <c r="AT59" s="196"/>
      <c r="AU59" s="66">
        <v>12517</v>
      </c>
      <c r="AV59" s="276"/>
      <c r="AW59" s="67"/>
      <c r="AX59" s="67"/>
      <c r="AY59" s="67"/>
      <c r="AZ59" s="67"/>
      <c r="BA59" s="190"/>
      <c r="BB59" s="68">
        <f t="shared" si="7"/>
        <v>0.1471462998883207</v>
      </c>
      <c r="BC59" s="276" t="s">
        <v>226</v>
      </c>
      <c r="BD59" s="69"/>
      <c r="BE59" s="69"/>
      <c r="BF59" s="69"/>
      <c r="BG59" s="69"/>
      <c r="BH59" s="199"/>
      <c r="BI59" s="70"/>
      <c r="BJ59" s="60" t="s">
        <v>226</v>
      </c>
      <c r="BK59" s="71"/>
      <c r="BL59" s="71"/>
      <c r="BM59" s="71"/>
      <c r="BN59" s="71"/>
      <c r="BO59" s="200"/>
      <c r="BP59" s="72"/>
      <c r="BQ59" s="276">
        <f t="shared" ref="BQ59:BS61" si="108">T59/M59</f>
        <v>0.02</v>
      </c>
      <c r="BR59" s="67">
        <f t="shared" si="108"/>
        <v>3.2000000000000001E-2</v>
      </c>
      <c r="BS59" s="67">
        <f t="shared" si="108"/>
        <v>0.04</v>
      </c>
      <c r="BT59" s="190"/>
      <c r="BU59" s="68">
        <f t="shared" si="12"/>
        <v>0.28000000000000003</v>
      </c>
      <c r="BV59" s="175"/>
      <c r="BW59" s="73"/>
    </row>
    <row r="60" spans="1:75" x14ac:dyDescent="0.25">
      <c r="A60" s="13">
        <v>50</v>
      </c>
      <c r="B60" s="59" t="s">
        <v>164</v>
      </c>
      <c r="C60" s="60">
        <v>4</v>
      </c>
      <c r="D60" s="61">
        <v>4</v>
      </c>
      <c r="E60" s="61">
        <v>4</v>
      </c>
      <c r="F60" s="145">
        <v>4</v>
      </c>
      <c r="G60" s="62"/>
      <c r="H60" s="60">
        <v>92</v>
      </c>
      <c r="I60" s="61">
        <v>92</v>
      </c>
      <c r="J60" s="61">
        <v>92</v>
      </c>
      <c r="K60" s="145">
        <v>88</v>
      </c>
      <c r="L60" s="62"/>
      <c r="M60" s="60">
        <v>59</v>
      </c>
      <c r="N60" s="61">
        <v>64</v>
      </c>
      <c r="O60" s="61">
        <v>70</v>
      </c>
      <c r="P60" s="145">
        <v>51</v>
      </c>
      <c r="Q60" s="62"/>
      <c r="R60" s="60">
        <v>0</v>
      </c>
      <c r="S60" s="61">
        <v>0</v>
      </c>
      <c r="T60" s="61">
        <v>0</v>
      </c>
      <c r="U60" s="61">
        <v>0</v>
      </c>
      <c r="V60" s="61">
        <v>0</v>
      </c>
      <c r="W60" s="145">
        <v>0</v>
      </c>
      <c r="X60" s="62"/>
      <c r="Y60" s="60" t="s">
        <v>165</v>
      </c>
      <c r="Z60" s="61" t="s">
        <v>166</v>
      </c>
      <c r="AA60" s="61" t="s">
        <v>167</v>
      </c>
      <c r="AB60" s="145" t="s">
        <v>167</v>
      </c>
      <c r="AC60" s="61" t="s">
        <v>167</v>
      </c>
      <c r="AD60" s="61">
        <v>0.36</v>
      </c>
      <c r="AE60" s="61">
        <v>0.36</v>
      </c>
      <c r="AF60" s="63" t="s">
        <v>144</v>
      </c>
      <c r="AG60" s="64"/>
      <c r="AH60" s="270">
        <v>13120</v>
      </c>
      <c r="AI60" s="65">
        <v>13382</v>
      </c>
      <c r="AJ60" s="65">
        <v>13578</v>
      </c>
      <c r="AK60" s="65">
        <v>15030</v>
      </c>
      <c r="AL60" s="65">
        <v>16510</v>
      </c>
      <c r="AM60" s="196">
        <v>19266.32</v>
      </c>
      <c r="AN60" s="66"/>
      <c r="AO60" s="270">
        <v>905</v>
      </c>
      <c r="AP60" s="65">
        <v>1939</v>
      </c>
      <c r="AQ60" s="65">
        <v>2198</v>
      </c>
      <c r="AR60" s="65">
        <v>3023</v>
      </c>
      <c r="AS60" s="65">
        <v>7475</v>
      </c>
      <c r="AT60" s="196">
        <v>6955.84</v>
      </c>
      <c r="AU60" s="66"/>
      <c r="AV60" s="276">
        <f t="shared" ref="AV60:AZ61" si="109">AO60/AH60</f>
        <v>6.8978658536585372E-2</v>
      </c>
      <c r="AW60" s="67">
        <f t="shared" si="109"/>
        <v>0.14489612912868033</v>
      </c>
      <c r="AX60" s="67">
        <f t="shared" si="109"/>
        <v>0.16187951097363382</v>
      </c>
      <c r="AY60" s="67">
        <f t="shared" si="109"/>
        <v>0.20113107119095144</v>
      </c>
      <c r="AZ60" s="67">
        <f t="shared" si="109"/>
        <v>0.452755905511811</v>
      </c>
      <c r="BA60" s="190">
        <v>0.36</v>
      </c>
      <c r="BB60" s="190"/>
      <c r="BC60" s="276" t="s">
        <v>226</v>
      </c>
      <c r="BD60" s="69">
        <f>(AW60-$AV60)*100</f>
        <v>7.5917470592094958</v>
      </c>
      <c r="BE60" s="69">
        <f>(AX60-$AV60)*100</f>
        <v>9.2900852437048442</v>
      </c>
      <c r="BF60" s="69">
        <f>(AY60-$AV60)*100</f>
        <v>13.215241265436607</v>
      </c>
      <c r="BG60" s="69">
        <f>(AZ60-$AV60)*100</f>
        <v>38.377724697522567</v>
      </c>
      <c r="BH60" s="199">
        <f>(BA60-$AV60)*100</f>
        <v>29.102134146341463</v>
      </c>
      <c r="BI60" s="70"/>
      <c r="BJ60" s="60" t="s">
        <v>226</v>
      </c>
      <c r="BK60" s="71">
        <f>(AW60-AV60)*100</f>
        <v>7.5917470592094958</v>
      </c>
      <c r="BL60" s="71">
        <f>(AX60-AW60)*100</f>
        <v>1.6983381844953489</v>
      </c>
      <c r="BM60" s="71">
        <f>(AY60-AX60)*100</f>
        <v>3.9251560217317625</v>
      </c>
      <c r="BN60" s="71">
        <f>(AZ60-AY60)*100</f>
        <v>25.162483432085956</v>
      </c>
      <c r="BO60" s="200">
        <f>(BA60-AZ60)*100</f>
        <v>-9.2755905511811001</v>
      </c>
      <c r="BP60" s="200"/>
      <c r="BQ60" s="276">
        <f t="shared" si="108"/>
        <v>0</v>
      </c>
      <c r="BR60" s="67">
        <f t="shared" si="108"/>
        <v>0</v>
      </c>
      <c r="BS60" s="67">
        <f t="shared" si="108"/>
        <v>0</v>
      </c>
      <c r="BT60" s="67">
        <f>W60/P60</f>
        <v>0</v>
      </c>
      <c r="BU60" s="68"/>
      <c r="BV60" s="175"/>
      <c r="BW60" s="73"/>
    </row>
    <row r="61" spans="1:75" s="22" customFormat="1" x14ac:dyDescent="0.25">
      <c r="A61" s="13">
        <v>51</v>
      </c>
      <c r="B61" s="59" t="s">
        <v>28</v>
      </c>
      <c r="C61" s="60"/>
      <c r="D61" s="61">
        <v>20</v>
      </c>
      <c r="E61" s="145">
        <v>22</v>
      </c>
      <c r="F61" s="145"/>
      <c r="G61" s="62"/>
      <c r="H61" s="60">
        <v>339</v>
      </c>
      <c r="I61" s="61">
        <v>340</v>
      </c>
      <c r="J61" s="145">
        <v>331</v>
      </c>
      <c r="K61" s="145"/>
      <c r="L61" s="62"/>
      <c r="M61" s="60">
        <v>10</v>
      </c>
      <c r="N61" s="61">
        <v>28</v>
      </c>
      <c r="O61" s="145">
        <v>56</v>
      </c>
      <c r="P61" s="145"/>
      <c r="Q61" s="62"/>
      <c r="R61" s="60">
        <v>1</v>
      </c>
      <c r="S61" s="61">
        <v>3</v>
      </c>
      <c r="T61" s="61">
        <v>4</v>
      </c>
      <c r="U61" s="61">
        <v>0</v>
      </c>
      <c r="V61" s="145">
        <v>10</v>
      </c>
      <c r="W61" s="145"/>
      <c r="X61" s="62"/>
      <c r="Y61" s="85">
        <v>27.3</v>
      </c>
      <c r="Z61" s="63">
        <v>27.3</v>
      </c>
      <c r="AA61" s="61">
        <v>44.19</v>
      </c>
      <c r="AB61" s="61">
        <v>52.89</v>
      </c>
      <c r="AC61" s="61">
        <v>53.91</v>
      </c>
      <c r="AD61" s="61"/>
      <c r="AE61" s="61"/>
      <c r="AF61" s="61"/>
      <c r="AG61" s="62"/>
      <c r="AH61" s="270">
        <v>36774</v>
      </c>
      <c r="AI61" s="65">
        <v>80939</v>
      </c>
      <c r="AJ61" s="65">
        <v>78207</v>
      </c>
      <c r="AK61" s="65">
        <v>108695</v>
      </c>
      <c r="AL61" s="196">
        <v>92877</v>
      </c>
      <c r="AM61" s="196"/>
      <c r="AN61" s="66"/>
      <c r="AO61" s="270">
        <v>1926</v>
      </c>
      <c r="AP61" s="65">
        <v>3577</v>
      </c>
      <c r="AQ61" s="65">
        <v>5222</v>
      </c>
      <c r="AR61" s="65">
        <v>6434</v>
      </c>
      <c r="AS61" s="196">
        <v>20515</v>
      </c>
      <c r="AT61" s="196"/>
      <c r="AU61" s="66"/>
      <c r="AV61" s="276">
        <f t="shared" si="109"/>
        <v>5.2373959862946649E-2</v>
      </c>
      <c r="AW61" s="67">
        <f t="shared" si="109"/>
        <v>4.4193775559371873E-2</v>
      </c>
      <c r="AX61" s="67">
        <f t="shared" si="109"/>
        <v>6.6771516616159682E-2</v>
      </c>
      <c r="AY61" s="67">
        <f t="shared" si="109"/>
        <v>5.9193155158930956E-2</v>
      </c>
      <c r="AZ61" s="190">
        <f t="shared" si="109"/>
        <v>0.22088353413654618</v>
      </c>
      <c r="BA61" s="190"/>
      <c r="BB61" s="190"/>
      <c r="BC61" s="276" t="s">
        <v>226</v>
      </c>
      <c r="BD61" s="69">
        <f>(AW61-$AV61)*100</f>
        <v>-0.81801843035747768</v>
      </c>
      <c r="BE61" s="69">
        <f>(AX61-$AV61)*100</f>
        <v>1.4397556753213032</v>
      </c>
      <c r="BF61" s="69">
        <f>(AY61-$AV61)*100</f>
        <v>0.68191952959843061</v>
      </c>
      <c r="BG61" s="199">
        <f>(AZ61-$AV61)*100</f>
        <v>16.850957427359951</v>
      </c>
      <c r="BH61" s="199"/>
      <c r="BI61" s="70"/>
      <c r="BJ61" s="60" t="s">
        <v>226</v>
      </c>
      <c r="BK61" s="71">
        <f>(AW61-AV61)*100</f>
        <v>-0.81801843035747768</v>
      </c>
      <c r="BL61" s="71">
        <f>(AX61-AW61)*100</f>
        <v>2.2577741056787808</v>
      </c>
      <c r="BM61" s="71">
        <f>(AY61-AX61)*100</f>
        <v>-0.75783614572287261</v>
      </c>
      <c r="BN61" s="200">
        <f>(AZ61-AY61)*100</f>
        <v>16.169037897761523</v>
      </c>
      <c r="BO61" s="200"/>
      <c r="BP61" s="200"/>
      <c r="BQ61" s="276">
        <f t="shared" si="108"/>
        <v>0.4</v>
      </c>
      <c r="BR61" s="67">
        <f t="shared" si="108"/>
        <v>0</v>
      </c>
      <c r="BS61" s="67">
        <f t="shared" si="108"/>
        <v>0.17857142857142858</v>
      </c>
      <c r="BT61" s="67"/>
      <c r="BU61" s="68"/>
      <c r="BV61" s="175"/>
      <c r="BW61" s="73"/>
    </row>
    <row r="62" spans="1:75" s="22" customFormat="1" x14ac:dyDescent="0.25">
      <c r="A62" s="13">
        <v>52</v>
      </c>
      <c r="B62" s="59" t="s">
        <v>232</v>
      </c>
      <c r="C62" s="60">
        <v>7</v>
      </c>
      <c r="D62" s="61">
        <v>7</v>
      </c>
      <c r="E62" s="61">
        <v>7</v>
      </c>
      <c r="F62" s="145">
        <v>0</v>
      </c>
      <c r="G62" s="62"/>
      <c r="H62" s="60">
        <v>9</v>
      </c>
      <c r="I62" s="61">
        <v>9</v>
      </c>
      <c r="J62" s="61">
        <v>9</v>
      </c>
      <c r="K62" s="145">
        <v>99</v>
      </c>
      <c r="L62" s="62"/>
      <c r="M62" s="60">
        <v>16</v>
      </c>
      <c r="N62" s="61">
        <v>24</v>
      </c>
      <c r="O62" s="61">
        <v>31</v>
      </c>
      <c r="P62" s="145">
        <v>21</v>
      </c>
      <c r="Q62" s="62"/>
      <c r="R62" s="60">
        <v>3</v>
      </c>
      <c r="S62" s="61">
        <v>0</v>
      </c>
      <c r="T62" s="61">
        <v>0</v>
      </c>
      <c r="U62" s="61">
        <v>3</v>
      </c>
      <c r="V62" s="61">
        <v>6</v>
      </c>
      <c r="W62" s="145">
        <v>7</v>
      </c>
      <c r="X62" s="62"/>
      <c r="Y62" s="60">
        <v>20.94</v>
      </c>
      <c r="Z62" s="61">
        <v>29.03</v>
      </c>
      <c r="AA62" s="61">
        <v>41.44</v>
      </c>
      <c r="AB62" s="145">
        <v>41.44</v>
      </c>
      <c r="AC62" s="61">
        <v>29.95</v>
      </c>
      <c r="AD62" s="61"/>
      <c r="AE62" s="61"/>
      <c r="AF62" s="61">
        <v>29.95</v>
      </c>
      <c r="AG62" s="62"/>
      <c r="AH62" s="270">
        <v>31683</v>
      </c>
      <c r="AI62" s="65">
        <v>30450</v>
      </c>
      <c r="AJ62" s="65">
        <v>38807</v>
      </c>
      <c r="AK62" s="65">
        <v>50021</v>
      </c>
      <c r="AL62" s="65">
        <v>41189</v>
      </c>
      <c r="AM62" s="196"/>
      <c r="AN62" s="66"/>
      <c r="AO62" s="270">
        <v>830</v>
      </c>
      <c r="AP62" s="65">
        <v>1210</v>
      </c>
      <c r="AQ62" s="65">
        <v>1567</v>
      </c>
      <c r="AR62" s="65">
        <v>6211</v>
      </c>
      <c r="AS62" s="65">
        <v>5853</v>
      </c>
      <c r="AT62" s="196"/>
      <c r="AU62" s="66"/>
      <c r="AV62" s="276">
        <f t="shared" ref="AV62:AZ62" si="110">AO62/AH62</f>
        <v>2.6197014171637788E-2</v>
      </c>
      <c r="AW62" s="67">
        <f t="shared" si="110"/>
        <v>3.9737274220032842E-2</v>
      </c>
      <c r="AX62" s="67">
        <f t="shared" si="110"/>
        <v>4.0379313010539333E-2</v>
      </c>
      <c r="AY62" s="67">
        <f t="shared" si="110"/>
        <v>0.12416784950320865</v>
      </c>
      <c r="AZ62" s="67">
        <f t="shared" si="110"/>
        <v>0.14210104639588239</v>
      </c>
      <c r="BA62" s="190"/>
      <c r="BB62" s="190"/>
      <c r="BC62" s="276" t="s">
        <v>226</v>
      </c>
      <c r="BD62" s="69">
        <f t="shared" ref="BD62:BG62" si="111">(AW62-$AV62)*100</f>
        <v>1.3540260048395054</v>
      </c>
      <c r="BE62" s="69">
        <f t="shared" si="111"/>
        <v>1.4182298838901546</v>
      </c>
      <c r="BF62" s="69">
        <f t="shared" si="111"/>
        <v>9.7970835331570854</v>
      </c>
      <c r="BG62" s="69">
        <f t="shared" si="111"/>
        <v>11.59040322242446</v>
      </c>
      <c r="BH62" s="199"/>
      <c r="BI62" s="70"/>
      <c r="BJ62" s="60" t="s">
        <v>226</v>
      </c>
      <c r="BK62" s="71">
        <f t="shared" ref="BK62:BN62" si="112">(AW62-AV62)*100</f>
        <v>1.3540260048395054</v>
      </c>
      <c r="BL62" s="71">
        <f t="shared" si="112"/>
        <v>6.4203879050649115E-2</v>
      </c>
      <c r="BM62" s="71">
        <f t="shared" si="112"/>
        <v>8.3788536492669312</v>
      </c>
      <c r="BN62" s="71">
        <f t="shared" si="112"/>
        <v>1.793319689267374</v>
      </c>
      <c r="BO62" s="200"/>
      <c r="BP62" s="200"/>
      <c r="BQ62" s="276">
        <f t="shared" ref="BQ62:BT63" si="113">T62/M62</f>
        <v>0</v>
      </c>
      <c r="BR62" s="67">
        <f t="shared" si="113"/>
        <v>0.125</v>
      </c>
      <c r="BS62" s="67">
        <f t="shared" si="113"/>
        <v>0.19354838709677419</v>
      </c>
      <c r="BT62" s="67">
        <f t="shared" si="113"/>
        <v>0.33333333333333331</v>
      </c>
      <c r="BU62" s="68"/>
      <c r="BV62" s="175"/>
      <c r="BW62" s="73"/>
    </row>
    <row r="63" spans="1:75" s="22" customFormat="1" x14ac:dyDescent="0.25">
      <c r="A63" s="13">
        <v>53</v>
      </c>
      <c r="B63" s="59" t="s">
        <v>317</v>
      </c>
      <c r="C63" s="60">
        <v>26</v>
      </c>
      <c r="D63" s="61">
        <v>25</v>
      </c>
      <c r="E63" s="61">
        <v>24</v>
      </c>
      <c r="F63" s="145">
        <v>0</v>
      </c>
      <c r="G63" s="62">
        <v>0</v>
      </c>
      <c r="H63" s="60">
        <v>110</v>
      </c>
      <c r="I63" s="61">
        <v>109</v>
      </c>
      <c r="J63" s="61">
        <v>107</v>
      </c>
      <c r="K63" s="145">
        <v>235</v>
      </c>
      <c r="L63" s="62">
        <v>235</v>
      </c>
      <c r="M63" s="60">
        <v>20</v>
      </c>
      <c r="N63" s="61">
        <v>25</v>
      </c>
      <c r="O63" s="61">
        <v>33</v>
      </c>
      <c r="P63" s="145">
        <v>28</v>
      </c>
      <c r="Q63" s="62">
        <v>30</v>
      </c>
      <c r="R63" s="60">
        <v>0</v>
      </c>
      <c r="S63" s="61">
        <v>1</v>
      </c>
      <c r="T63" s="61">
        <v>0</v>
      </c>
      <c r="U63" s="61">
        <v>0</v>
      </c>
      <c r="V63" s="61">
        <v>4</v>
      </c>
      <c r="W63" s="145">
        <v>12</v>
      </c>
      <c r="X63" s="62">
        <v>5</v>
      </c>
      <c r="Y63" s="60">
        <v>21.3</v>
      </c>
      <c r="Z63" s="61">
        <v>25.98</v>
      </c>
      <c r="AA63" s="61">
        <v>31.41</v>
      </c>
      <c r="AB63" s="145">
        <v>31.41</v>
      </c>
      <c r="AC63" s="61">
        <v>31.41</v>
      </c>
      <c r="AD63" s="91"/>
      <c r="AE63" s="61"/>
      <c r="AF63" s="152">
        <v>34.619999999999997</v>
      </c>
      <c r="AG63" s="152">
        <v>34.619999999999997</v>
      </c>
      <c r="AH63" s="270">
        <v>38510</v>
      </c>
      <c r="AI63" s="65">
        <v>54287</v>
      </c>
      <c r="AJ63" s="65">
        <v>75981</v>
      </c>
      <c r="AK63" s="65">
        <v>81612</v>
      </c>
      <c r="AL63" s="65">
        <v>83280</v>
      </c>
      <c r="AM63" s="196">
        <v>91289</v>
      </c>
      <c r="AN63" s="66">
        <v>95021</v>
      </c>
      <c r="AO63" s="270">
        <v>7220</v>
      </c>
      <c r="AP63" s="65">
        <v>9341</v>
      </c>
      <c r="AQ63" s="65">
        <v>12559</v>
      </c>
      <c r="AR63" s="65">
        <v>15904</v>
      </c>
      <c r="AS63" s="65">
        <v>21698</v>
      </c>
      <c r="AT63" s="196">
        <v>21537</v>
      </c>
      <c r="AU63" s="66">
        <v>21550</v>
      </c>
      <c r="AV63" s="276">
        <f>AO63/AH63</f>
        <v>0.18748377044923398</v>
      </c>
      <c r="AW63" s="67">
        <f>AP63/AI63</f>
        <v>0.1720669773610625</v>
      </c>
      <c r="AX63" s="67">
        <f>AQ63/AJ63</f>
        <v>0.16529132283070769</v>
      </c>
      <c r="AY63" s="67">
        <f>AR63/AK63</f>
        <v>0.19487330294564525</v>
      </c>
      <c r="AZ63" s="67">
        <f>AS63/AL63</f>
        <v>0.26054274735830935</v>
      </c>
      <c r="BA63" s="190">
        <f t="shared" ref="BA63" si="114">AT63/AM63</f>
        <v>0.23592108578251486</v>
      </c>
      <c r="BB63" s="68">
        <f t="shared" si="7"/>
        <v>0.22679197230085982</v>
      </c>
      <c r="BC63" s="276" t="s">
        <v>226</v>
      </c>
      <c r="BD63" s="69">
        <f>(AW63-$AV63)*100</f>
        <v>-1.5416793088171481</v>
      </c>
      <c r="BE63" s="69">
        <f>(AX63-$AV63)*100</f>
        <v>-2.2192447618526288</v>
      </c>
      <c r="BF63" s="69">
        <f>(AY63-$AV63)*100</f>
        <v>0.73895324964112774</v>
      </c>
      <c r="BG63" s="69">
        <f>(AZ63-$AV63)*100</f>
        <v>7.3058976909075373</v>
      </c>
      <c r="BH63" s="199">
        <f t="shared" ref="BH63" si="115">(BA63-$AV63)*100</f>
        <v>4.8437315333280884</v>
      </c>
      <c r="BI63" s="70">
        <f t="shared" si="28"/>
        <v>3.9308201851625841</v>
      </c>
      <c r="BJ63" s="60" t="s">
        <v>226</v>
      </c>
      <c r="BK63" s="71">
        <f>(AW63-AV63)*100</f>
        <v>-1.5416793088171481</v>
      </c>
      <c r="BL63" s="71">
        <f>(AX63-AW63)*100</f>
        <v>-0.67756545303548077</v>
      </c>
      <c r="BM63" s="71">
        <f>(AY63-AX63)*100</f>
        <v>2.9581980114937565</v>
      </c>
      <c r="BN63" s="71">
        <f>(AZ63-AY63)*100</f>
        <v>6.5669444412664095</v>
      </c>
      <c r="BO63" s="200">
        <f t="shared" ref="BO63" si="116">(BA63-AZ63)*100</f>
        <v>-2.4621661575794485</v>
      </c>
      <c r="BP63" s="72">
        <f t="shared" si="56"/>
        <v>-0.91291134816550434</v>
      </c>
      <c r="BQ63" s="276">
        <f t="shared" si="113"/>
        <v>0</v>
      </c>
      <c r="BR63" s="67">
        <f t="shared" si="113"/>
        <v>0</v>
      </c>
      <c r="BS63" s="67">
        <f t="shared" si="113"/>
        <v>0.12121212121212122</v>
      </c>
      <c r="BT63" s="190">
        <f t="shared" si="113"/>
        <v>0.42857142857142855</v>
      </c>
      <c r="BU63" s="68">
        <f t="shared" si="12"/>
        <v>0.16666666666666666</v>
      </c>
      <c r="BV63" s="175">
        <f t="shared" si="13"/>
        <v>0</v>
      </c>
      <c r="BW63" s="73">
        <f t="shared" si="14"/>
        <v>7.1428571428571425E-2</v>
      </c>
    </row>
    <row r="64" spans="1:75" s="22" customFormat="1" x14ac:dyDescent="0.25">
      <c r="A64" s="13">
        <v>53</v>
      </c>
      <c r="B64" s="59" t="s">
        <v>318</v>
      </c>
      <c r="C64" s="60">
        <v>5</v>
      </c>
      <c r="D64" s="61">
        <v>5</v>
      </c>
      <c r="E64" s="145">
        <v>5</v>
      </c>
      <c r="F64" s="145"/>
      <c r="G64" s="62"/>
      <c r="H64" s="60">
        <v>271</v>
      </c>
      <c r="I64" s="61">
        <v>265</v>
      </c>
      <c r="J64" s="145">
        <v>269</v>
      </c>
      <c r="K64" s="145"/>
      <c r="L64" s="62"/>
      <c r="M64" s="60">
        <v>75</v>
      </c>
      <c r="N64" s="61">
        <v>98</v>
      </c>
      <c r="O64" s="145">
        <v>124</v>
      </c>
      <c r="P64" s="145"/>
      <c r="Q64" s="62"/>
      <c r="R64" s="60">
        <v>0</v>
      </c>
      <c r="S64" s="61">
        <v>0</v>
      </c>
      <c r="T64" s="61">
        <v>0</v>
      </c>
      <c r="U64" s="61">
        <v>0</v>
      </c>
      <c r="V64" s="145">
        <v>2</v>
      </c>
      <c r="W64" s="145"/>
      <c r="X64" s="62"/>
      <c r="Y64" s="60" t="s">
        <v>89</v>
      </c>
      <c r="Z64" s="61" t="s">
        <v>89</v>
      </c>
      <c r="AA64" s="61" t="s">
        <v>104</v>
      </c>
      <c r="AB64" s="61" t="s">
        <v>104</v>
      </c>
      <c r="AC64" s="61" t="s">
        <v>104</v>
      </c>
      <c r="AD64" s="61">
        <v>0.83</v>
      </c>
      <c r="AE64" s="61">
        <v>0.83</v>
      </c>
      <c r="AF64" s="61"/>
      <c r="AG64" s="62"/>
      <c r="AH64" s="270"/>
      <c r="AI64" s="65"/>
      <c r="AJ64" s="65"/>
      <c r="AK64" s="65"/>
      <c r="AL64" s="196">
        <v>540611</v>
      </c>
      <c r="AM64" s="196"/>
      <c r="AN64" s="66"/>
      <c r="AO64" s="270"/>
      <c r="AP64" s="65"/>
      <c r="AQ64" s="65"/>
      <c r="AR64" s="65"/>
      <c r="AS64" s="196">
        <v>19899</v>
      </c>
      <c r="AT64" s="196"/>
      <c r="AU64" s="66"/>
      <c r="AV64" s="276"/>
      <c r="AW64" s="67"/>
      <c r="AX64" s="67"/>
      <c r="AY64" s="67"/>
      <c r="AZ64" s="190">
        <f>AS64/AL64</f>
        <v>3.6808352031312719E-2</v>
      </c>
      <c r="BA64" s="190"/>
      <c r="BB64" s="190"/>
      <c r="BC64" s="276"/>
      <c r="BD64" s="69"/>
      <c r="BE64" s="69"/>
      <c r="BF64" s="69"/>
      <c r="BG64" s="199"/>
      <c r="BH64" s="199"/>
      <c r="BI64" s="70"/>
      <c r="BJ64" s="60"/>
      <c r="BK64" s="71"/>
      <c r="BL64" s="71"/>
      <c r="BM64" s="71"/>
      <c r="BN64" s="200"/>
      <c r="BO64" s="200"/>
      <c r="BP64" s="200"/>
      <c r="BQ64" s="276">
        <f>T64/M64</f>
        <v>0</v>
      </c>
      <c r="BR64" s="67">
        <f>U64/N64</f>
        <v>0</v>
      </c>
      <c r="BS64" s="67">
        <f>V64/O64</f>
        <v>1.6129032258064516E-2</v>
      </c>
      <c r="BT64" s="67"/>
      <c r="BU64" s="68"/>
      <c r="BV64" s="175"/>
      <c r="BW64" s="73"/>
    </row>
    <row r="65" spans="1:75" s="22" customFormat="1" x14ac:dyDescent="0.25">
      <c r="A65" s="13">
        <v>54</v>
      </c>
      <c r="B65" s="59" t="s">
        <v>391</v>
      </c>
      <c r="C65" s="60">
        <v>0</v>
      </c>
      <c r="D65" s="61">
        <v>0</v>
      </c>
      <c r="E65" s="61">
        <v>10</v>
      </c>
      <c r="F65" s="145">
        <v>12</v>
      </c>
      <c r="G65" s="62">
        <v>12</v>
      </c>
      <c r="H65" s="60">
        <v>117</v>
      </c>
      <c r="I65" s="61">
        <v>373</v>
      </c>
      <c r="J65" s="61">
        <v>66</v>
      </c>
      <c r="K65" s="145">
        <v>24</v>
      </c>
      <c r="L65" s="62">
        <v>24</v>
      </c>
      <c r="M65" s="60">
        <v>34</v>
      </c>
      <c r="N65" s="61">
        <v>172</v>
      </c>
      <c r="O65" s="61">
        <v>123</v>
      </c>
      <c r="P65" s="145">
        <v>88</v>
      </c>
      <c r="Q65" s="62">
        <v>107</v>
      </c>
      <c r="R65" s="60">
        <v>0</v>
      </c>
      <c r="S65" s="61">
        <v>2</v>
      </c>
      <c r="T65" s="61">
        <v>3</v>
      </c>
      <c r="U65" s="61">
        <v>4</v>
      </c>
      <c r="V65" s="61">
        <v>0</v>
      </c>
      <c r="W65" s="145">
        <v>16</v>
      </c>
      <c r="X65" s="62">
        <v>25</v>
      </c>
      <c r="Y65" s="60" t="s">
        <v>80</v>
      </c>
      <c r="Z65" s="61" t="s">
        <v>81</v>
      </c>
      <c r="AA65" s="61" t="s">
        <v>82</v>
      </c>
      <c r="AB65" s="145" t="s">
        <v>83</v>
      </c>
      <c r="AC65" s="61" t="s">
        <v>83</v>
      </c>
      <c r="AD65" s="91">
        <v>1.0900000000000001</v>
      </c>
      <c r="AE65" s="61">
        <v>0.79</v>
      </c>
      <c r="AF65" s="152">
        <v>38.090000000000003</v>
      </c>
      <c r="AG65" s="64">
        <v>41.85</v>
      </c>
      <c r="AH65" s="270"/>
      <c r="AI65" s="65"/>
      <c r="AJ65" s="65">
        <v>46638</v>
      </c>
      <c r="AK65" s="65">
        <v>49853</v>
      </c>
      <c r="AL65" s="65">
        <v>99861</v>
      </c>
      <c r="AM65" s="196">
        <v>103855.52</v>
      </c>
      <c r="AN65" s="66">
        <v>121957.47</v>
      </c>
      <c r="AO65" s="270"/>
      <c r="AP65" s="65"/>
      <c r="AQ65" s="65">
        <v>2238</v>
      </c>
      <c r="AR65" s="65">
        <v>5339</v>
      </c>
      <c r="AS65" s="65">
        <v>18393</v>
      </c>
      <c r="AT65" s="196">
        <v>25475.35</v>
      </c>
      <c r="AU65" s="66">
        <v>29266.49</v>
      </c>
      <c r="AV65" s="276"/>
      <c r="AW65" s="67"/>
      <c r="AX65" s="67">
        <f>AQ65/AJ65</f>
        <v>4.798662035250225E-2</v>
      </c>
      <c r="AY65" s="67">
        <f>AR65/AK65</f>
        <v>0.10709485888512225</v>
      </c>
      <c r="AZ65" s="67">
        <f>AS65/AL65</f>
        <v>0.18418601856580646</v>
      </c>
      <c r="BA65" s="190">
        <f t="shared" ref="BA65:BA66" si="117">AT65/AM65</f>
        <v>0.24529606129746398</v>
      </c>
      <c r="BB65" s="68">
        <f t="shared" si="7"/>
        <v>0.23997291842803889</v>
      </c>
      <c r="BC65" s="276" t="s">
        <v>226</v>
      </c>
      <c r="BD65" s="69">
        <f t="shared" ref="BD65:BH66" si="118">(AW65-$AV65)*100</f>
        <v>0</v>
      </c>
      <c r="BE65" s="69">
        <f t="shared" si="118"/>
        <v>4.7986620352502252</v>
      </c>
      <c r="BF65" s="69">
        <f t="shared" si="118"/>
        <v>10.709485888512225</v>
      </c>
      <c r="BG65" s="69">
        <f t="shared" si="118"/>
        <v>18.418601856580647</v>
      </c>
      <c r="BH65" s="199">
        <f t="shared" si="118"/>
        <v>24.529606129746398</v>
      </c>
      <c r="BI65" s="70">
        <f t="shared" si="28"/>
        <v>23.997291842803889</v>
      </c>
      <c r="BJ65" s="60" t="s">
        <v>226</v>
      </c>
      <c r="BK65" s="71">
        <f t="shared" ref="BK65:BO67" si="119">(AW65-AV65)*100</f>
        <v>0</v>
      </c>
      <c r="BL65" s="71">
        <f t="shared" si="119"/>
        <v>4.7986620352502252</v>
      </c>
      <c r="BM65" s="71">
        <f t="shared" si="119"/>
        <v>5.9108238532620003</v>
      </c>
      <c r="BN65" s="71">
        <f t="shared" si="119"/>
        <v>7.7091159680684207</v>
      </c>
      <c r="BO65" s="200">
        <f t="shared" si="119"/>
        <v>6.1110042731657517</v>
      </c>
      <c r="BP65" s="72">
        <f t="shared" si="56"/>
        <v>-0.53231428694250904</v>
      </c>
      <c r="BQ65" s="276">
        <f t="shared" ref="BQ65:BT66" si="120">T65/M65</f>
        <v>8.8235294117647065E-2</v>
      </c>
      <c r="BR65" s="67">
        <f t="shared" si="120"/>
        <v>2.3255813953488372E-2</v>
      </c>
      <c r="BS65" s="67">
        <f t="shared" si="120"/>
        <v>0</v>
      </c>
      <c r="BT65" s="190">
        <f t="shared" si="120"/>
        <v>0.18181818181818182</v>
      </c>
      <c r="BU65" s="68">
        <f t="shared" si="12"/>
        <v>0.23364485981308411</v>
      </c>
      <c r="BV65" s="175">
        <f t="shared" si="13"/>
        <v>9.8713573116303424E-2</v>
      </c>
      <c r="BW65" s="73">
        <f t="shared" si="14"/>
        <v>0.21590909090909091</v>
      </c>
    </row>
    <row r="66" spans="1:75" x14ac:dyDescent="0.25">
      <c r="A66" s="13">
        <v>57</v>
      </c>
      <c r="B66" s="59" t="s">
        <v>30</v>
      </c>
      <c r="C66" s="60">
        <v>0</v>
      </c>
      <c r="D66" s="61">
        <v>0</v>
      </c>
      <c r="E66" s="61">
        <v>0</v>
      </c>
      <c r="F66" s="145">
        <v>0</v>
      </c>
      <c r="G66" s="62">
        <v>0</v>
      </c>
      <c r="H66" s="60">
        <v>181</v>
      </c>
      <c r="I66" s="61">
        <v>193</v>
      </c>
      <c r="J66" s="61">
        <v>193</v>
      </c>
      <c r="K66" s="145">
        <v>193</v>
      </c>
      <c r="L66" s="62">
        <v>193</v>
      </c>
      <c r="M66" s="60">
        <v>56</v>
      </c>
      <c r="N66" s="61">
        <v>69</v>
      </c>
      <c r="O66" s="61">
        <v>74</v>
      </c>
      <c r="P66" s="145">
        <v>76</v>
      </c>
      <c r="Q66" s="62">
        <v>74</v>
      </c>
      <c r="R66" s="60">
        <v>6</v>
      </c>
      <c r="S66" s="61"/>
      <c r="T66" s="61"/>
      <c r="U66" s="61"/>
      <c r="V66" s="61"/>
      <c r="W66" s="145">
        <v>0</v>
      </c>
      <c r="X66" s="62">
        <v>0</v>
      </c>
      <c r="Y66" s="60">
        <v>11.63</v>
      </c>
      <c r="Z66" s="61">
        <v>18.059999999999999</v>
      </c>
      <c r="AA66" s="61">
        <v>26.42</v>
      </c>
      <c r="AB66" s="145">
        <v>26.42</v>
      </c>
      <c r="AC66" s="61">
        <v>26.42</v>
      </c>
      <c r="AD66" s="91"/>
      <c r="AE66" s="61"/>
      <c r="AF66" s="145">
        <v>26.42</v>
      </c>
      <c r="AG66" s="145">
        <v>26.42</v>
      </c>
      <c r="AH66" s="270">
        <v>35172</v>
      </c>
      <c r="AI66" s="65">
        <v>34212</v>
      </c>
      <c r="AJ66" s="65">
        <v>53168</v>
      </c>
      <c r="AK66" s="65">
        <v>66989</v>
      </c>
      <c r="AL66" s="65">
        <v>70927</v>
      </c>
      <c r="AM66" s="196">
        <v>68886</v>
      </c>
      <c r="AN66" s="66">
        <v>67366.720000000001</v>
      </c>
      <c r="AO66" s="270">
        <v>10467</v>
      </c>
      <c r="AP66" s="65">
        <v>5068</v>
      </c>
      <c r="AQ66" s="65">
        <v>15077</v>
      </c>
      <c r="AR66" s="65">
        <v>20385</v>
      </c>
      <c r="AS66" s="65">
        <v>20412</v>
      </c>
      <c r="AT66" s="196">
        <v>17477</v>
      </c>
      <c r="AU66" s="66">
        <v>13785.84</v>
      </c>
      <c r="AV66" s="276">
        <f>AO66/AH66</f>
        <v>0.29759467758444219</v>
      </c>
      <c r="AW66" s="67">
        <f>AP66/AI66</f>
        <v>0.14813515725476442</v>
      </c>
      <c r="AX66" s="67">
        <f>AQ66/AJ66</f>
        <v>0.28357282575985554</v>
      </c>
      <c r="AY66" s="67">
        <f>AR66/AK66</f>
        <v>0.30430369165086807</v>
      </c>
      <c r="AZ66" s="67">
        <f>AS66/AL66</f>
        <v>0.28778885332806969</v>
      </c>
      <c r="BA66" s="190">
        <f t="shared" si="117"/>
        <v>0.25370902650756322</v>
      </c>
      <c r="BB66" s="68">
        <f t="shared" si="7"/>
        <v>0.20463872962792309</v>
      </c>
      <c r="BC66" s="276" t="s">
        <v>226</v>
      </c>
      <c r="BD66" s="69">
        <f>(AW66-$AV66)*100</f>
        <v>-14.945952032967776</v>
      </c>
      <c r="BE66" s="69">
        <f>(AX66-$AV66)*100</f>
        <v>-1.4021851824586651</v>
      </c>
      <c r="BF66" s="69">
        <f>(AY66-$AV66)*100</f>
        <v>0.67090140664258779</v>
      </c>
      <c r="BG66" s="69">
        <f>(AZ66-$AV66)*100</f>
        <v>-0.98058242563724973</v>
      </c>
      <c r="BH66" s="199">
        <f t="shared" si="118"/>
        <v>-4.3885651076878975</v>
      </c>
      <c r="BI66" s="70">
        <f t="shared" si="28"/>
        <v>-9.29559479565191</v>
      </c>
      <c r="BJ66" s="60">
        <f>-BX69</f>
        <v>0</v>
      </c>
      <c r="BK66" s="71">
        <f>(AW66-AV66)*100</f>
        <v>-14.945952032967776</v>
      </c>
      <c r="BL66" s="71">
        <f>(AX66-AW66)*100</f>
        <v>13.543766850509112</v>
      </c>
      <c r="BM66" s="71">
        <f>(AY66-AX66)*100</f>
        <v>2.0730865891012531</v>
      </c>
      <c r="BN66" s="71">
        <f>(AZ66-AY66)*100</f>
        <v>-1.6514838322798375</v>
      </c>
      <c r="BO66" s="200">
        <f t="shared" si="119"/>
        <v>-3.4079826820506476</v>
      </c>
      <c r="BP66" s="72">
        <f t="shared" si="56"/>
        <v>-4.9070296879640125</v>
      </c>
      <c r="BQ66" s="276"/>
      <c r="BR66" s="67"/>
      <c r="BS66" s="67"/>
      <c r="BT66" s="190">
        <f t="shared" si="120"/>
        <v>0</v>
      </c>
      <c r="BU66" s="68">
        <f t="shared" si="12"/>
        <v>0</v>
      </c>
      <c r="BV66" s="175">
        <f t="shared" si="13"/>
        <v>0</v>
      </c>
      <c r="BW66" s="73">
        <f t="shared" si="14"/>
        <v>-2.6315789473684209E-2</v>
      </c>
    </row>
    <row r="67" spans="1:75" x14ac:dyDescent="0.25">
      <c r="A67" s="13">
        <v>58</v>
      </c>
      <c r="B67" s="59" t="s">
        <v>210</v>
      </c>
      <c r="C67" s="60">
        <v>0</v>
      </c>
      <c r="D67" s="61">
        <v>0</v>
      </c>
      <c r="E67" s="61">
        <v>0</v>
      </c>
      <c r="F67" s="145">
        <v>0</v>
      </c>
      <c r="G67" s="62"/>
      <c r="H67" s="60">
        <v>0</v>
      </c>
      <c r="I67" s="61">
        <v>58</v>
      </c>
      <c r="J67" s="61">
        <v>56</v>
      </c>
      <c r="K67" s="145">
        <v>52</v>
      </c>
      <c r="L67" s="62"/>
      <c r="M67" s="60">
        <v>0</v>
      </c>
      <c r="N67" s="61">
        <v>16</v>
      </c>
      <c r="O67" s="61">
        <v>19</v>
      </c>
      <c r="P67" s="145">
        <v>16</v>
      </c>
      <c r="Q67" s="62"/>
      <c r="R67" s="60"/>
      <c r="S67" s="61"/>
      <c r="T67" s="61"/>
      <c r="U67" s="61"/>
      <c r="V67" s="61"/>
      <c r="W67" s="145">
        <v>0</v>
      </c>
      <c r="X67" s="62"/>
      <c r="Y67" s="60"/>
      <c r="Z67" s="61"/>
      <c r="AA67" s="61" t="s">
        <v>92</v>
      </c>
      <c r="AB67" s="145" t="s">
        <v>92</v>
      </c>
      <c r="AC67" s="61" t="s">
        <v>92</v>
      </c>
      <c r="AD67" s="61">
        <v>0.45</v>
      </c>
      <c r="AE67" s="61">
        <v>0.45</v>
      </c>
      <c r="AF67" s="61" t="s">
        <v>92</v>
      </c>
      <c r="AG67" s="62"/>
      <c r="AH67" s="270"/>
      <c r="AI67" s="65"/>
      <c r="AJ67" s="65"/>
      <c r="AK67" s="65"/>
      <c r="AL67" s="65">
        <v>10661</v>
      </c>
      <c r="AM67" s="196">
        <v>11039</v>
      </c>
      <c r="AN67" s="66"/>
      <c r="AO67" s="270"/>
      <c r="AP67" s="65"/>
      <c r="AQ67" s="65"/>
      <c r="AR67" s="65"/>
      <c r="AS67" s="65">
        <v>4089</v>
      </c>
      <c r="AT67" s="196">
        <v>1755</v>
      </c>
      <c r="AU67" s="66"/>
      <c r="AV67" s="276"/>
      <c r="AW67" s="67"/>
      <c r="AX67" s="67"/>
      <c r="AY67" s="67"/>
      <c r="AZ67" s="67">
        <f t="shared" ref="AZ67" si="121">AS67/AL67</f>
        <v>0.3835475096144827</v>
      </c>
      <c r="BA67" s="190">
        <v>0.16</v>
      </c>
      <c r="BB67" s="190"/>
      <c r="BC67" s="276" t="s">
        <v>226</v>
      </c>
      <c r="BD67" s="69"/>
      <c r="BE67" s="69"/>
      <c r="BF67" s="69"/>
      <c r="BG67" s="69"/>
      <c r="BH67" s="199"/>
      <c r="BI67" s="70"/>
      <c r="BJ67" s="60" t="s">
        <v>226</v>
      </c>
      <c r="BK67" s="71"/>
      <c r="BL67" s="71"/>
      <c r="BM67" s="71"/>
      <c r="BN67" s="71"/>
      <c r="BO67" s="200">
        <f t="shared" si="119"/>
        <v>-22.354750961448268</v>
      </c>
      <c r="BP67" s="200"/>
      <c r="BQ67" s="276"/>
      <c r="BR67" s="67">
        <f>U67/N67</f>
        <v>0</v>
      </c>
      <c r="BS67" s="67">
        <f>V67/O67</f>
        <v>0</v>
      </c>
      <c r="BT67" s="67">
        <f>W67/P67</f>
        <v>0</v>
      </c>
      <c r="BU67" s="68"/>
      <c r="BV67" s="175"/>
      <c r="BW67" s="73"/>
    </row>
    <row r="68" spans="1:75" x14ac:dyDescent="0.25">
      <c r="A68" s="13">
        <v>59</v>
      </c>
      <c r="B68" s="59" t="s">
        <v>260</v>
      </c>
      <c r="C68" s="60">
        <v>1</v>
      </c>
      <c r="D68" s="61">
        <v>1</v>
      </c>
      <c r="E68" s="61">
        <v>1</v>
      </c>
      <c r="F68" s="145">
        <v>0</v>
      </c>
      <c r="G68" s="62">
        <v>0</v>
      </c>
      <c r="H68" s="60">
        <v>130</v>
      </c>
      <c r="I68" s="61">
        <v>130</v>
      </c>
      <c r="J68" s="61">
        <v>130</v>
      </c>
      <c r="K68" s="145">
        <v>118</v>
      </c>
      <c r="L68" s="62">
        <v>118</v>
      </c>
      <c r="M68" s="60">
        <v>12</v>
      </c>
      <c r="N68" s="61">
        <v>19</v>
      </c>
      <c r="O68" s="61">
        <v>25</v>
      </c>
      <c r="P68" s="145">
        <v>35</v>
      </c>
      <c r="Q68" s="62">
        <v>44</v>
      </c>
      <c r="R68" s="60">
        <v>0</v>
      </c>
      <c r="S68" s="61">
        <v>2</v>
      </c>
      <c r="T68" s="61">
        <v>6</v>
      </c>
      <c r="U68" s="61">
        <v>13</v>
      </c>
      <c r="V68" s="61">
        <v>3</v>
      </c>
      <c r="W68" s="145">
        <v>10</v>
      </c>
      <c r="X68" s="62">
        <v>8</v>
      </c>
      <c r="Y68" s="60"/>
      <c r="Z68" s="61">
        <v>22.79</v>
      </c>
      <c r="AA68" s="61">
        <v>26.82</v>
      </c>
      <c r="AB68" s="145">
        <v>28.82</v>
      </c>
      <c r="AC68" s="61">
        <v>28.82</v>
      </c>
      <c r="AD68" s="91"/>
      <c r="AE68" s="61"/>
      <c r="AF68" s="145">
        <v>28.82</v>
      </c>
      <c r="AG68" s="145">
        <v>28.82</v>
      </c>
      <c r="AH68" s="270">
        <v>26308</v>
      </c>
      <c r="AI68" s="65">
        <v>27853</v>
      </c>
      <c r="AJ68" s="65">
        <v>35369</v>
      </c>
      <c r="AK68" s="65">
        <v>34736</v>
      </c>
      <c r="AL68" s="65">
        <v>37025</v>
      </c>
      <c r="AM68" s="196">
        <v>43572</v>
      </c>
      <c r="AN68" s="66">
        <v>38432</v>
      </c>
      <c r="AO68" s="270">
        <v>661</v>
      </c>
      <c r="AP68" s="65">
        <v>436</v>
      </c>
      <c r="AQ68" s="65">
        <v>686</v>
      </c>
      <c r="AR68" s="65">
        <v>2057</v>
      </c>
      <c r="AS68" s="65">
        <v>3391</v>
      </c>
      <c r="AT68" s="196">
        <v>7616</v>
      </c>
      <c r="AU68" s="66">
        <v>5257</v>
      </c>
      <c r="AV68" s="276">
        <f t="shared" ref="AV68:BA69" si="122">AO68/AH68</f>
        <v>2.5125437129390301E-2</v>
      </c>
      <c r="AW68" s="67">
        <f t="shared" si="122"/>
        <v>1.5653610024054861E-2</v>
      </c>
      <c r="AX68" s="67">
        <f t="shared" si="122"/>
        <v>1.9395515847210835E-2</v>
      </c>
      <c r="AY68" s="67">
        <f t="shared" si="122"/>
        <v>5.921810225702441E-2</v>
      </c>
      <c r="AZ68" s="67">
        <f t="shared" si="122"/>
        <v>9.1586765698852129E-2</v>
      </c>
      <c r="BA68" s="190">
        <f t="shared" si="122"/>
        <v>0.17479115027999634</v>
      </c>
      <c r="BB68" s="68">
        <f t="shared" ref="BB68:BB121" si="123">AU68/AN68</f>
        <v>0.13678705245628642</v>
      </c>
      <c r="BC68" s="276" t="s">
        <v>226</v>
      </c>
      <c r="BD68" s="69">
        <f t="shared" ref="BD68:BH69" si="124">(AW68-$AV68)*100</f>
        <v>-0.94718271053354408</v>
      </c>
      <c r="BE68" s="69">
        <f t="shared" si="124"/>
        <v>-0.57299212821794665</v>
      </c>
      <c r="BF68" s="69">
        <f t="shared" si="124"/>
        <v>3.4092665127634105</v>
      </c>
      <c r="BG68" s="69">
        <f t="shared" si="124"/>
        <v>6.6461328569461822</v>
      </c>
      <c r="BH68" s="199">
        <f t="shared" si="124"/>
        <v>14.966571315060603</v>
      </c>
      <c r="BI68" s="70">
        <f t="shared" si="28"/>
        <v>11.16616153268961</v>
      </c>
      <c r="BJ68" s="60" t="s">
        <v>226</v>
      </c>
      <c r="BK68" s="71">
        <f t="shared" ref="BK68:BO69" si="125">(AW68-AV68)*100</f>
        <v>-0.94718271053354408</v>
      </c>
      <c r="BL68" s="71">
        <f t="shared" si="125"/>
        <v>0.37419058231559743</v>
      </c>
      <c r="BM68" s="71">
        <f t="shared" si="125"/>
        <v>3.9822586409813581</v>
      </c>
      <c r="BN68" s="71">
        <f t="shared" si="125"/>
        <v>3.2368663441827721</v>
      </c>
      <c r="BO68" s="200">
        <f t="shared" si="125"/>
        <v>8.3204384581144204</v>
      </c>
      <c r="BP68" s="72">
        <f t="shared" si="56"/>
        <v>-3.8004097823709921</v>
      </c>
      <c r="BQ68" s="276">
        <f t="shared" ref="BQ68:BU69" si="126">T68/M68</f>
        <v>0.5</v>
      </c>
      <c r="BR68" s="67">
        <f t="shared" si="126"/>
        <v>0.68421052631578949</v>
      </c>
      <c r="BS68" s="67">
        <f t="shared" si="126"/>
        <v>0.12</v>
      </c>
      <c r="BT68" s="190">
        <f t="shared" si="126"/>
        <v>0.2857142857142857</v>
      </c>
      <c r="BU68" s="68">
        <f t="shared" si="126"/>
        <v>0.18181818181818182</v>
      </c>
      <c r="BV68" s="175">
        <f t="shared" ref="BV68:BV69" si="127">(AG68-AF68)/AF68</f>
        <v>0</v>
      </c>
      <c r="BW68" s="73">
        <f t="shared" ref="BW68:BW69" si="128">(Q68-P68)/P68</f>
        <v>0.25714285714285712</v>
      </c>
    </row>
    <row r="69" spans="1:75" x14ac:dyDescent="0.25">
      <c r="A69" s="13">
        <v>59</v>
      </c>
      <c r="B69" s="59" t="s">
        <v>261</v>
      </c>
      <c r="C69" s="60">
        <v>0</v>
      </c>
      <c r="D69" s="61">
        <v>0</v>
      </c>
      <c r="E69" s="61">
        <v>0</v>
      </c>
      <c r="F69" s="145">
        <v>0</v>
      </c>
      <c r="G69" s="62">
        <v>0</v>
      </c>
      <c r="H69" s="60">
        <v>214</v>
      </c>
      <c r="I69" s="61">
        <v>207</v>
      </c>
      <c r="J69" s="61">
        <v>200</v>
      </c>
      <c r="K69" s="145">
        <v>128</v>
      </c>
      <c r="L69" s="62">
        <v>112</v>
      </c>
      <c r="M69" s="60">
        <v>4</v>
      </c>
      <c r="N69" s="61">
        <v>8</v>
      </c>
      <c r="O69" s="61">
        <v>17</v>
      </c>
      <c r="P69" s="145">
        <v>25</v>
      </c>
      <c r="Q69" s="62">
        <v>30</v>
      </c>
      <c r="R69" s="60">
        <v>5</v>
      </c>
      <c r="S69" s="61">
        <v>0</v>
      </c>
      <c r="T69" s="61">
        <v>0</v>
      </c>
      <c r="U69" s="61">
        <v>0</v>
      </c>
      <c r="V69" s="61">
        <v>0</v>
      </c>
      <c r="W69" s="145">
        <v>0</v>
      </c>
      <c r="X69" s="62">
        <v>0</v>
      </c>
      <c r="Y69" s="60">
        <f>(16.32+21.32)/2</f>
        <v>18.82</v>
      </c>
      <c r="Z69" s="61">
        <f>(21.32+25.76)/2</f>
        <v>23.54</v>
      </c>
      <c r="AA69" s="61">
        <f>(25.76+35.29)/2</f>
        <v>30.524999999999999</v>
      </c>
      <c r="AB69" s="145">
        <v>35.29</v>
      </c>
      <c r="AC69" s="61">
        <v>28.82</v>
      </c>
      <c r="AD69" s="91">
        <v>16523</v>
      </c>
      <c r="AE69" s="61">
        <v>23452</v>
      </c>
      <c r="AF69" s="145">
        <v>28.82</v>
      </c>
      <c r="AG69" s="62">
        <v>41.69</v>
      </c>
      <c r="AH69" s="270">
        <v>16523</v>
      </c>
      <c r="AI69" s="65">
        <v>23452</v>
      </c>
      <c r="AJ69" s="65">
        <v>26645</v>
      </c>
      <c r="AK69" s="65">
        <v>31417</v>
      </c>
      <c r="AL69" s="65">
        <v>32242</v>
      </c>
      <c r="AM69" s="196">
        <v>33235</v>
      </c>
      <c r="AN69" s="66">
        <v>29882</v>
      </c>
      <c r="AO69" s="270">
        <v>901</v>
      </c>
      <c r="AP69" s="65">
        <v>795</v>
      </c>
      <c r="AQ69" s="65">
        <v>561</v>
      </c>
      <c r="AR69" s="65">
        <v>1828</v>
      </c>
      <c r="AS69" s="65">
        <v>3716</v>
      </c>
      <c r="AT69" s="196">
        <v>4303</v>
      </c>
      <c r="AU69" s="66">
        <v>5782</v>
      </c>
      <c r="AV69" s="276">
        <f t="shared" si="122"/>
        <v>5.4530049022574592E-2</v>
      </c>
      <c r="AW69" s="67">
        <f t="shared" si="122"/>
        <v>3.3899027801466829E-2</v>
      </c>
      <c r="AX69" s="67">
        <f t="shared" si="122"/>
        <v>2.1054606868080316E-2</v>
      </c>
      <c r="AY69" s="67">
        <f t="shared" si="122"/>
        <v>5.8185059044466372E-2</v>
      </c>
      <c r="AZ69" s="67">
        <f t="shared" si="122"/>
        <v>0.11525339619130327</v>
      </c>
      <c r="BA69" s="190">
        <f t="shared" si="122"/>
        <v>0.12947194222957725</v>
      </c>
      <c r="BB69" s="68">
        <f t="shared" si="123"/>
        <v>0.19349441135131518</v>
      </c>
      <c r="BC69" s="276" t="s">
        <v>226</v>
      </c>
      <c r="BD69" s="69">
        <f t="shared" si="124"/>
        <v>-2.0631021221107764</v>
      </c>
      <c r="BE69" s="69">
        <f t="shared" si="124"/>
        <v>-3.3475442154494273</v>
      </c>
      <c r="BF69" s="69">
        <f t="shared" si="124"/>
        <v>0.36550100218917803</v>
      </c>
      <c r="BG69" s="69">
        <f t="shared" si="124"/>
        <v>6.0723347168728683</v>
      </c>
      <c r="BH69" s="199">
        <f t="shared" si="124"/>
        <v>7.4941893207002659</v>
      </c>
      <c r="BI69" s="70">
        <f t="shared" si="28"/>
        <v>13.896436232874059</v>
      </c>
      <c r="BJ69" s="60" t="s">
        <v>226</v>
      </c>
      <c r="BK69" s="71">
        <f t="shared" si="125"/>
        <v>-2.0631021221107764</v>
      </c>
      <c r="BL69" s="71">
        <f t="shared" si="125"/>
        <v>-1.2844420933386513</v>
      </c>
      <c r="BM69" s="71">
        <f t="shared" si="125"/>
        <v>3.7130452176386051</v>
      </c>
      <c r="BN69" s="71">
        <f t="shared" si="125"/>
        <v>5.7068337146836896</v>
      </c>
      <c r="BO69" s="200">
        <f t="shared" si="125"/>
        <v>1.421854603827398</v>
      </c>
      <c r="BP69" s="72">
        <f t="shared" si="56"/>
        <v>6.4022469121737924</v>
      </c>
      <c r="BQ69" s="276">
        <f t="shared" si="126"/>
        <v>0</v>
      </c>
      <c r="BR69" s="67">
        <f t="shared" si="126"/>
        <v>0</v>
      </c>
      <c r="BS69" s="67">
        <f t="shared" si="126"/>
        <v>0</v>
      </c>
      <c r="BT69" s="190">
        <f t="shared" si="126"/>
        <v>0</v>
      </c>
      <c r="BU69" s="68">
        <f t="shared" si="126"/>
        <v>0</v>
      </c>
      <c r="BV69" s="175">
        <f t="shared" si="127"/>
        <v>0.44656488549618312</v>
      </c>
      <c r="BW69" s="73">
        <f t="shared" si="128"/>
        <v>0.2</v>
      </c>
    </row>
    <row r="70" spans="1:75" x14ac:dyDescent="0.25">
      <c r="A70" s="13">
        <v>59</v>
      </c>
      <c r="B70" s="59" t="s">
        <v>262</v>
      </c>
      <c r="C70" s="60">
        <v>0</v>
      </c>
      <c r="D70" s="61">
        <v>0</v>
      </c>
      <c r="E70" s="61">
        <v>0</v>
      </c>
      <c r="F70" s="145">
        <v>0</v>
      </c>
      <c r="G70" s="62">
        <v>0</v>
      </c>
      <c r="H70" s="60">
        <v>212</v>
      </c>
      <c r="I70" s="61">
        <v>212</v>
      </c>
      <c r="J70" s="61">
        <v>212</v>
      </c>
      <c r="K70" s="145">
        <v>233</v>
      </c>
      <c r="L70" s="62">
        <v>233</v>
      </c>
      <c r="M70" s="60">
        <v>59</v>
      </c>
      <c r="N70" s="61">
        <v>77</v>
      </c>
      <c r="O70" s="61">
        <v>84</v>
      </c>
      <c r="P70" s="145">
        <v>90</v>
      </c>
      <c r="Q70" s="62">
        <v>80</v>
      </c>
      <c r="R70" s="60">
        <v>0</v>
      </c>
      <c r="S70" s="61">
        <v>0</v>
      </c>
      <c r="T70" s="61">
        <v>0</v>
      </c>
      <c r="U70" s="61">
        <v>12</v>
      </c>
      <c r="V70" s="61">
        <v>2</v>
      </c>
      <c r="W70" s="145">
        <v>20</v>
      </c>
      <c r="X70" s="62">
        <v>25</v>
      </c>
      <c r="Y70" s="60">
        <v>15.75</v>
      </c>
      <c r="Z70" s="61">
        <v>15.75</v>
      </c>
      <c r="AA70" s="61">
        <v>25.26</v>
      </c>
      <c r="AB70" s="145">
        <v>25.26</v>
      </c>
      <c r="AC70" s="61">
        <v>25.26</v>
      </c>
      <c r="AD70" s="91"/>
      <c r="AE70" s="61"/>
      <c r="AF70" s="145">
        <v>25.26</v>
      </c>
      <c r="AG70" s="145">
        <v>25.26</v>
      </c>
      <c r="AH70" s="270">
        <v>28633</v>
      </c>
      <c r="AI70" s="65">
        <v>39359</v>
      </c>
      <c r="AJ70" s="65">
        <v>51893</v>
      </c>
      <c r="AK70" s="65">
        <v>55527</v>
      </c>
      <c r="AL70" s="65">
        <v>49815</v>
      </c>
      <c r="AM70" s="196">
        <v>61915</v>
      </c>
      <c r="AN70" s="66">
        <v>63051</v>
      </c>
      <c r="AO70" s="270">
        <v>3293</v>
      </c>
      <c r="AP70" s="65">
        <v>3703</v>
      </c>
      <c r="AQ70" s="65">
        <v>6051</v>
      </c>
      <c r="AR70" s="65">
        <v>14620</v>
      </c>
      <c r="AS70" s="65">
        <v>21105</v>
      </c>
      <c r="AT70" s="196">
        <v>23260</v>
      </c>
      <c r="AU70" s="66">
        <v>8195</v>
      </c>
      <c r="AV70" s="276">
        <f t="shared" ref="AV70:BA73" si="129">AO70/AH70</f>
        <v>0.11500715957112423</v>
      </c>
      <c r="AW70" s="67">
        <f t="shared" si="129"/>
        <v>9.4082674864706922E-2</v>
      </c>
      <c r="AX70" s="67">
        <f t="shared" si="129"/>
        <v>0.11660532249050931</v>
      </c>
      <c r="AY70" s="67">
        <f t="shared" si="129"/>
        <v>0.26329533380157399</v>
      </c>
      <c r="AZ70" s="67">
        <f t="shared" si="129"/>
        <v>0.42366757000903343</v>
      </c>
      <c r="BA70" s="190">
        <f t="shared" si="129"/>
        <v>0.37567633045304044</v>
      </c>
      <c r="BB70" s="68">
        <f t="shared" si="123"/>
        <v>0.12997414791200773</v>
      </c>
      <c r="BC70" s="276" t="s">
        <v>226</v>
      </c>
      <c r="BD70" s="69">
        <f t="shared" ref="BD70:BI72" si="130">(AW70-$AV70)*100</f>
        <v>-2.0924484706417306</v>
      </c>
      <c r="BE70" s="69">
        <f t="shared" si="130"/>
        <v>0.15981629193850821</v>
      </c>
      <c r="BF70" s="69">
        <f t="shared" si="130"/>
        <v>14.828817423044976</v>
      </c>
      <c r="BG70" s="69">
        <f t="shared" si="130"/>
        <v>30.866041043790922</v>
      </c>
      <c r="BH70" s="199">
        <f t="shared" si="130"/>
        <v>26.066917088191623</v>
      </c>
      <c r="BI70" s="70">
        <f t="shared" si="28"/>
        <v>1.4966988340883502</v>
      </c>
      <c r="BJ70" s="60" t="s">
        <v>226</v>
      </c>
      <c r="BK70" s="71">
        <f t="shared" ref="BK70:BO73" si="131">(AW70-AV70)*100</f>
        <v>-2.0924484706417306</v>
      </c>
      <c r="BL70" s="71">
        <f t="shared" si="131"/>
        <v>2.2522647625802388</v>
      </c>
      <c r="BM70" s="71">
        <f t="shared" si="131"/>
        <v>14.669001131106468</v>
      </c>
      <c r="BN70" s="71">
        <f t="shared" si="131"/>
        <v>16.037223620745944</v>
      </c>
      <c r="BO70" s="200">
        <f t="shared" si="131"/>
        <v>-4.7991239555992991</v>
      </c>
      <c r="BP70" s="72">
        <f t="shared" si="56"/>
        <v>-24.570218254103271</v>
      </c>
      <c r="BQ70" s="276">
        <f t="shared" ref="BQ70:BT73" si="132">T70/M70</f>
        <v>0</v>
      </c>
      <c r="BR70" s="67">
        <f t="shared" si="132"/>
        <v>0.15584415584415584</v>
      </c>
      <c r="BS70" s="67">
        <f t="shared" si="132"/>
        <v>2.3809523809523808E-2</v>
      </c>
      <c r="BT70" s="190">
        <f t="shared" si="132"/>
        <v>0.22222222222222221</v>
      </c>
      <c r="BU70" s="68">
        <f t="shared" ref="BU70:BU122" si="133">X70/Q70</f>
        <v>0.3125</v>
      </c>
      <c r="BV70" s="175">
        <f t="shared" ref="BV70:BV122" si="134">(AG70-AF70)/AF70</f>
        <v>0</v>
      </c>
      <c r="BW70" s="73">
        <f t="shared" ref="BW70:BW122" si="135">(Q70-P70)/P70</f>
        <v>-0.1111111111111111</v>
      </c>
    </row>
    <row r="71" spans="1:75" x14ac:dyDescent="0.25">
      <c r="A71" s="13">
        <v>59</v>
      </c>
      <c r="B71" s="59" t="s">
        <v>263</v>
      </c>
      <c r="C71" s="60">
        <v>10</v>
      </c>
      <c r="D71" s="61">
        <v>10</v>
      </c>
      <c r="E71" s="61">
        <v>10</v>
      </c>
      <c r="F71" s="145">
        <v>0</v>
      </c>
      <c r="G71" s="62">
        <v>10</v>
      </c>
      <c r="H71" s="60">
        <v>183</v>
      </c>
      <c r="I71" s="61">
        <v>183</v>
      </c>
      <c r="J71" s="61">
        <v>183</v>
      </c>
      <c r="K71" s="145">
        <v>181</v>
      </c>
      <c r="L71" s="62">
        <v>168</v>
      </c>
      <c r="M71" s="60">
        <v>29</v>
      </c>
      <c r="N71" s="61">
        <v>51</v>
      </c>
      <c r="O71" s="61">
        <v>55</v>
      </c>
      <c r="P71" s="145">
        <v>49</v>
      </c>
      <c r="Q71" s="62">
        <v>43</v>
      </c>
      <c r="R71" s="60">
        <v>10</v>
      </c>
      <c r="S71" s="61">
        <v>3</v>
      </c>
      <c r="T71" s="61">
        <v>7</v>
      </c>
      <c r="U71" s="61">
        <v>9</v>
      </c>
      <c r="V71" s="61">
        <v>7</v>
      </c>
      <c r="W71" s="145">
        <v>7</v>
      </c>
      <c r="X71" s="62">
        <v>12</v>
      </c>
      <c r="Y71" s="60"/>
      <c r="Z71" s="61">
        <v>19.03</v>
      </c>
      <c r="AA71" s="61">
        <v>20.53</v>
      </c>
      <c r="AB71" s="145">
        <v>29.23</v>
      </c>
      <c r="AC71" s="61">
        <v>29.23</v>
      </c>
      <c r="AD71" s="91"/>
      <c r="AE71" s="61"/>
      <c r="AF71" s="145">
        <v>29.23</v>
      </c>
      <c r="AG71" s="62">
        <v>29.82</v>
      </c>
      <c r="AH71" s="270">
        <v>32759</v>
      </c>
      <c r="AI71" s="65">
        <v>37396</v>
      </c>
      <c r="AJ71" s="65">
        <v>42828</v>
      </c>
      <c r="AK71" s="65">
        <v>45019</v>
      </c>
      <c r="AL71" s="65">
        <v>44324</v>
      </c>
      <c r="AM71" s="196">
        <v>41665</v>
      </c>
      <c r="AN71" s="66">
        <v>43621</v>
      </c>
      <c r="AO71" s="270">
        <v>4201</v>
      </c>
      <c r="AP71" s="65">
        <v>2369</v>
      </c>
      <c r="AQ71" s="65">
        <v>4366</v>
      </c>
      <c r="AR71" s="65">
        <v>7919</v>
      </c>
      <c r="AS71" s="65">
        <v>14218</v>
      </c>
      <c r="AT71" s="196">
        <v>9856</v>
      </c>
      <c r="AU71" s="66">
        <v>14378</v>
      </c>
      <c r="AV71" s="276">
        <f t="shared" si="129"/>
        <v>0.12823956775237338</v>
      </c>
      <c r="AW71" s="67">
        <f t="shared" si="129"/>
        <v>6.3349021285699011E-2</v>
      </c>
      <c r="AX71" s="67">
        <f t="shared" si="129"/>
        <v>0.10194265433828337</v>
      </c>
      <c r="AY71" s="67">
        <f t="shared" si="129"/>
        <v>0.1759035074079833</v>
      </c>
      <c r="AZ71" s="67">
        <f t="shared" si="129"/>
        <v>0.3207742983485245</v>
      </c>
      <c r="BA71" s="190">
        <f t="shared" si="129"/>
        <v>0.23655346213848555</v>
      </c>
      <c r="BB71" s="68">
        <f t="shared" si="123"/>
        <v>0.32961188418422321</v>
      </c>
      <c r="BC71" s="276" t="s">
        <v>226</v>
      </c>
      <c r="BD71" s="69">
        <f t="shared" si="130"/>
        <v>-6.4890546466674373</v>
      </c>
      <c r="BE71" s="69">
        <f t="shared" si="130"/>
        <v>-2.6296913414090017</v>
      </c>
      <c r="BF71" s="69">
        <f t="shared" si="130"/>
        <v>4.7663939655609919</v>
      </c>
      <c r="BG71" s="69">
        <f t="shared" si="130"/>
        <v>19.253473059615111</v>
      </c>
      <c r="BH71" s="199">
        <f t="shared" si="130"/>
        <v>10.831389438611216</v>
      </c>
      <c r="BI71" s="70">
        <f t="shared" si="130"/>
        <v>20.137231643184982</v>
      </c>
      <c r="BJ71" s="60" t="s">
        <v>226</v>
      </c>
      <c r="BK71" s="71">
        <f t="shared" si="131"/>
        <v>-6.4890546466674373</v>
      </c>
      <c r="BL71" s="71">
        <f t="shared" si="131"/>
        <v>3.8593633052584355</v>
      </c>
      <c r="BM71" s="71">
        <f t="shared" si="131"/>
        <v>7.3960853069699937</v>
      </c>
      <c r="BN71" s="71">
        <f t="shared" si="131"/>
        <v>14.487079094054121</v>
      </c>
      <c r="BO71" s="200">
        <f t="shared" si="131"/>
        <v>-8.4220836210038961</v>
      </c>
      <c r="BP71" s="72">
        <f t="shared" si="56"/>
        <v>9.3058422045737661</v>
      </c>
      <c r="BQ71" s="276">
        <f t="shared" si="132"/>
        <v>0.2413793103448276</v>
      </c>
      <c r="BR71" s="67">
        <f t="shared" si="132"/>
        <v>0.17647058823529413</v>
      </c>
      <c r="BS71" s="67">
        <f t="shared" si="132"/>
        <v>0.12727272727272726</v>
      </c>
      <c r="BT71" s="190">
        <f t="shared" si="132"/>
        <v>0.14285714285714285</v>
      </c>
      <c r="BU71" s="68">
        <f t="shared" si="133"/>
        <v>0.27906976744186046</v>
      </c>
      <c r="BV71" s="175">
        <f t="shared" si="134"/>
        <v>2.0184741703729039E-2</v>
      </c>
      <c r="BW71" s="73">
        <f t="shared" si="135"/>
        <v>-0.12244897959183673</v>
      </c>
    </row>
    <row r="72" spans="1:75" x14ac:dyDescent="0.25">
      <c r="A72" s="13">
        <v>59</v>
      </c>
      <c r="B72" s="59" t="s">
        <v>264</v>
      </c>
      <c r="C72" s="60">
        <v>0</v>
      </c>
      <c r="D72" s="61">
        <v>0</v>
      </c>
      <c r="E72" s="61">
        <v>0</v>
      </c>
      <c r="F72" s="145">
        <v>0</v>
      </c>
      <c r="G72" s="62">
        <v>0</v>
      </c>
      <c r="H72" s="60">
        <v>260</v>
      </c>
      <c r="I72" s="61">
        <v>255</v>
      </c>
      <c r="J72" s="61">
        <v>250</v>
      </c>
      <c r="K72" s="145">
        <v>95</v>
      </c>
      <c r="L72" s="62">
        <v>92</v>
      </c>
      <c r="M72" s="60">
        <v>38</v>
      </c>
      <c r="N72" s="61">
        <v>30</v>
      </c>
      <c r="O72" s="61">
        <v>34</v>
      </c>
      <c r="P72" s="145">
        <v>24</v>
      </c>
      <c r="Q72" s="62">
        <v>21</v>
      </c>
      <c r="R72" s="60">
        <v>0</v>
      </c>
      <c r="S72" s="61">
        <v>0</v>
      </c>
      <c r="T72" s="61">
        <v>0</v>
      </c>
      <c r="U72" s="61">
        <v>0</v>
      </c>
      <c r="V72" s="61">
        <v>0</v>
      </c>
      <c r="W72" s="145">
        <v>0</v>
      </c>
      <c r="X72" s="62">
        <v>0</v>
      </c>
      <c r="Y72" s="60" t="s">
        <v>126</v>
      </c>
      <c r="Z72" s="61" t="s">
        <v>126</v>
      </c>
      <c r="AA72" s="61" t="s">
        <v>207</v>
      </c>
      <c r="AB72" s="145" t="s">
        <v>127</v>
      </c>
      <c r="AC72" s="61" t="s">
        <v>134</v>
      </c>
      <c r="AD72" s="91">
        <v>0.51</v>
      </c>
      <c r="AE72" s="61">
        <v>1</v>
      </c>
      <c r="AF72" s="145" t="s">
        <v>134</v>
      </c>
      <c r="AG72" s="145" t="s">
        <v>405</v>
      </c>
      <c r="AH72" s="270">
        <v>11923</v>
      </c>
      <c r="AI72" s="65">
        <v>15487</v>
      </c>
      <c r="AJ72" s="65">
        <v>17869</v>
      </c>
      <c r="AK72" s="65">
        <v>20787</v>
      </c>
      <c r="AL72" s="65">
        <v>31348</v>
      </c>
      <c r="AM72" s="196">
        <v>34599</v>
      </c>
      <c r="AN72" s="66">
        <v>29121</v>
      </c>
      <c r="AO72" s="270">
        <v>8250</v>
      </c>
      <c r="AP72" s="65">
        <v>7950</v>
      </c>
      <c r="AQ72" s="65">
        <v>7740</v>
      </c>
      <c r="AR72" s="65">
        <v>7860</v>
      </c>
      <c r="AS72" s="65">
        <v>9945</v>
      </c>
      <c r="AT72" s="196">
        <v>6417</v>
      </c>
      <c r="AU72" s="66">
        <v>4716</v>
      </c>
      <c r="AV72" s="276">
        <f t="shared" si="129"/>
        <v>0.69193994799966452</v>
      </c>
      <c r="AW72" s="67">
        <f t="shared" si="129"/>
        <v>0.51333376380189832</v>
      </c>
      <c r="AX72" s="67">
        <f t="shared" si="129"/>
        <v>0.43315238681515472</v>
      </c>
      <c r="AY72" s="67">
        <f t="shared" si="129"/>
        <v>0.37812094097272336</v>
      </c>
      <c r="AZ72" s="67">
        <f t="shared" si="129"/>
        <v>0.31724511930585686</v>
      </c>
      <c r="BA72" s="190">
        <f t="shared" si="129"/>
        <v>0.18546778808636089</v>
      </c>
      <c r="BB72" s="68">
        <f t="shared" si="123"/>
        <v>0.16194498815287936</v>
      </c>
      <c r="BC72" s="276" t="s">
        <v>226</v>
      </c>
      <c r="BD72" s="69">
        <f t="shared" si="130"/>
        <v>-17.860618419776621</v>
      </c>
      <c r="BE72" s="69">
        <f t="shared" si="130"/>
        <v>-25.87875611845098</v>
      </c>
      <c r="BF72" s="69">
        <f t="shared" si="130"/>
        <v>-31.381900702694114</v>
      </c>
      <c r="BG72" s="69">
        <f t="shared" si="130"/>
        <v>-37.469482869380769</v>
      </c>
      <c r="BH72" s="199">
        <f t="shared" si="130"/>
        <v>-50.647215991330363</v>
      </c>
      <c r="BI72" s="70">
        <f t="shared" ref="BI72:BI125" si="136">(BB72-$AV72)*100</f>
        <v>-52.999495984678511</v>
      </c>
      <c r="BJ72" s="60" t="s">
        <v>226</v>
      </c>
      <c r="BK72" s="71">
        <f t="shared" si="131"/>
        <v>-17.860618419776621</v>
      </c>
      <c r="BL72" s="71">
        <f t="shared" si="131"/>
        <v>-8.0181376986743604</v>
      </c>
      <c r="BM72" s="71">
        <f t="shared" si="131"/>
        <v>-5.5031445842431364</v>
      </c>
      <c r="BN72" s="71">
        <f t="shared" si="131"/>
        <v>-6.0875821666866505</v>
      </c>
      <c r="BO72" s="200">
        <f t="shared" si="131"/>
        <v>-13.177733121949597</v>
      </c>
      <c r="BP72" s="72">
        <f t="shared" si="56"/>
        <v>-2.3522799933481524</v>
      </c>
      <c r="BQ72" s="276">
        <f t="shared" si="132"/>
        <v>0</v>
      </c>
      <c r="BR72" s="67">
        <f t="shared" si="132"/>
        <v>0</v>
      </c>
      <c r="BS72" s="67">
        <f t="shared" si="132"/>
        <v>0</v>
      </c>
      <c r="BT72" s="190">
        <f t="shared" si="132"/>
        <v>0</v>
      </c>
      <c r="BU72" s="68">
        <f t="shared" si="133"/>
        <v>0</v>
      </c>
      <c r="BV72" s="175"/>
      <c r="BW72" s="73">
        <f t="shared" si="135"/>
        <v>-0.125</v>
      </c>
    </row>
    <row r="73" spans="1:75" x14ac:dyDescent="0.25">
      <c r="A73" s="13">
        <v>59</v>
      </c>
      <c r="B73" s="59" t="s">
        <v>267</v>
      </c>
      <c r="C73" s="60">
        <v>0</v>
      </c>
      <c r="D73" s="61">
        <v>0</v>
      </c>
      <c r="E73" s="61">
        <v>0</v>
      </c>
      <c r="F73" s="145">
        <v>0</v>
      </c>
      <c r="G73" s="62">
        <v>0</v>
      </c>
      <c r="H73" s="60">
        <v>304</v>
      </c>
      <c r="I73" s="61">
        <v>289</v>
      </c>
      <c r="J73" s="61">
        <v>275</v>
      </c>
      <c r="K73" s="145">
        <v>262</v>
      </c>
      <c r="L73" s="62">
        <v>255</v>
      </c>
      <c r="M73" s="60">
        <v>100</v>
      </c>
      <c r="N73" s="61">
        <v>897</v>
      </c>
      <c r="O73" s="61">
        <v>123</v>
      </c>
      <c r="P73" s="145">
        <v>36</v>
      </c>
      <c r="Q73" s="62">
        <v>35</v>
      </c>
      <c r="R73" s="60">
        <v>0</v>
      </c>
      <c r="S73" s="61">
        <v>0</v>
      </c>
      <c r="T73" s="61">
        <v>0</v>
      </c>
      <c r="U73" s="61">
        <v>0</v>
      </c>
      <c r="V73" s="61">
        <v>11</v>
      </c>
      <c r="W73" s="145">
        <v>11</v>
      </c>
      <c r="X73" s="62">
        <v>15</v>
      </c>
      <c r="Y73" s="60"/>
      <c r="Z73" s="61" t="s">
        <v>141</v>
      </c>
      <c r="AA73" s="61" t="s">
        <v>141</v>
      </c>
      <c r="AB73" s="145" t="s">
        <v>95</v>
      </c>
      <c r="AC73" s="61">
        <v>28.01</v>
      </c>
      <c r="AD73" s="91"/>
      <c r="AE73" s="61"/>
      <c r="AF73" s="145">
        <v>28.01</v>
      </c>
      <c r="AG73" s="145">
        <v>28.01</v>
      </c>
      <c r="AH73" s="270"/>
      <c r="AI73" s="65">
        <v>10671</v>
      </c>
      <c r="AJ73" s="65">
        <v>29837</v>
      </c>
      <c r="AK73" s="65">
        <v>35342</v>
      </c>
      <c r="AL73" s="65">
        <v>41318</v>
      </c>
      <c r="AM73" s="196">
        <v>49972</v>
      </c>
      <c r="AN73" s="66">
        <v>45685</v>
      </c>
      <c r="AO73" s="270"/>
      <c r="AP73" s="65">
        <v>1345</v>
      </c>
      <c r="AQ73" s="65">
        <v>3232</v>
      </c>
      <c r="AR73" s="65">
        <v>8565</v>
      </c>
      <c r="AS73" s="65">
        <v>13550</v>
      </c>
      <c r="AT73" s="196">
        <v>19400</v>
      </c>
      <c r="AU73" s="66">
        <v>8503</v>
      </c>
      <c r="AV73" s="276"/>
      <c r="AW73" s="67">
        <f t="shared" si="129"/>
        <v>0.126042545216006</v>
      </c>
      <c r="AX73" s="67">
        <f t="shared" si="129"/>
        <v>0.10832188222676542</v>
      </c>
      <c r="AY73" s="67">
        <f t="shared" si="129"/>
        <v>0.24234621696564992</v>
      </c>
      <c r="AZ73" s="67">
        <f t="shared" si="129"/>
        <v>0.3279442373783823</v>
      </c>
      <c r="BA73" s="190">
        <f t="shared" si="129"/>
        <v>0.38821740174497721</v>
      </c>
      <c r="BB73" s="68">
        <f t="shared" si="123"/>
        <v>0.18612235963664223</v>
      </c>
      <c r="BC73" s="276" t="s">
        <v>226</v>
      </c>
      <c r="BD73" s="69"/>
      <c r="BE73" s="69"/>
      <c r="BF73" s="69"/>
      <c r="BG73" s="69"/>
      <c r="BH73" s="199"/>
      <c r="BI73" s="70"/>
      <c r="BJ73" s="60" t="s">
        <v>226</v>
      </c>
      <c r="BK73" s="71"/>
      <c r="BL73" s="71">
        <f t="shared" si="131"/>
        <v>-1.7720662989240576</v>
      </c>
      <c r="BM73" s="71">
        <f t="shared" si="131"/>
        <v>13.402433473888451</v>
      </c>
      <c r="BN73" s="71">
        <f t="shared" si="131"/>
        <v>8.5598020412732367</v>
      </c>
      <c r="BO73" s="200">
        <f t="shared" si="131"/>
        <v>6.0273164366594916</v>
      </c>
      <c r="BP73" s="72">
        <f t="shared" si="56"/>
        <v>-20.209504210833497</v>
      </c>
      <c r="BQ73" s="276">
        <f t="shared" si="132"/>
        <v>0</v>
      </c>
      <c r="BR73" s="67">
        <f t="shared" si="132"/>
        <v>0</v>
      </c>
      <c r="BS73" s="67">
        <f t="shared" si="132"/>
        <v>8.943089430894309E-2</v>
      </c>
      <c r="BT73" s="190">
        <f t="shared" si="132"/>
        <v>0.30555555555555558</v>
      </c>
      <c r="BU73" s="68">
        <f t="shared" si="133"/>
        <v>0.42857142857142855</v>
      </c>
      <c r="BV73" s="175">
        <f t="shared" si="134"/>
        <v>0</v>
      </c>
      <c r="BW73" s="73">
        <f t="shared" si="135"/>
        <v>-2.7777777777777776E-2</v>
      </c>
    </row>
    <row r="74" spans="1:75" x14ac:dyDescent="0.25">
      <c r="A74" s="13">
        <v>63</v>
      </c>
      <c r="B74" s="59" t="s">
        <v>34</v>
      </c>
      <c r="C74" s="60">
        <v>4</v>
      </c>
      <c r="D74" s="61">
        <v>4</v>
      </c>
      <c r="E74" s="61">
        <v>4</v>
      </c>
      <c r="F74" s="145">
        <v>4</v>
      </c>
      <c r="G74" s="62">
        <v>4</v>
      </c>
      <c r="H74" s="60">
        <v>43</v>
      </c>
      <c r="I74" s="61">
        <v>42</v>
      </c>
      <c r="J74" s="61">
        <v>42</v>
      </c>
      <c r="K74" s="145">
        <v>41</v>
      </c>
      <c r="L74" s="62">
        <v>41</v>
      </c>
      <c r="M74" s="60">
        <v>14</v>
      </c>
      <c r="N74" s="61">
        <v>30</v>
      </c>
      <c r="O74" s="61">
        <v>31</v>
      </c>
      <c r="P74" s="145">
        <v>30</v>
      </c>
      <c r="Q74" s="62">
        <v>31</v>
      </c>
      <c r="R74" s="60">
        <v>0</v>
      </c>
      <c r="S74" s="61">
        <v>0</v>
      </c>
      <c r="T74" s="61">
        <v>14</v>
      </c>
      <c r="U74" s="61">
        <v>3</v>
      </c>
      <c r="V74" s="61">
        <v>6</v>
      </c>
      <c r="W74" s="145">
        <v>16</v>
      </c>
      <c r="X74" s="62">
        <v>8</v>
      </c>
      <c r="Y74" s="60">
        <v>19.63</v>
      </c>
      <c r="Z74" s="61">
        <v>20.66</v>
      </c>
      <c r="AA74" s="61">
        <v>25.14</v>
      </c>
      <c r="AB74" s="145">
        <v>25.14</v>
      </c>
      <c r="AC74" s="61">
        <v>26.22</v>
      </c>
      <c r="AD74" s="91"/>
      <c r="AE74" s="61"/>
      <c r="AF74" s="152">
        <v>27.3</v>
      </c>
      <c r="AG74" s="152">
        <v>27.3</v>
      </c>
      <c r="AH74" s="270">
        <v>35784</v>
      </c>
      <c r="AI74" s="65">
        <v>40174</v>
      </c>
      <c r="AJ74" s="65">
        <v>33080</v>
      </c>
      <c r="AK74" s="65">
        <v>36801</v>
      </c>
      <c r="AL74" s="65">
        <v>49957</v>
      </c>
      <c r="AM74" s="196">
        <v>51496.44</v>
      </c>
      <c r="AN74" s="66">
        <v>42015.47</v>
      </c>
      <c r="AO74" s="270">
        <v>8321</v>
      </c>
      <c r="AP74" s="65">
        <v>7499</v>
      </c>
      <c r="AQ74" s="65">
        <v>5471</v>
      </c>
      <c r="AR74" s="65">
        <v>7226</v>
      </c>
      <c r="AS74" s="65">
        <v>12599</v>
      </c>
      <c r="AT74" s="196">
        <v>12911.45</v>
      </c>
      <c r="AU74" s="66">
        <v>12350.82</v>
      </c>
      <c r="AV74" s="276">
        <f>AO74/AH74</f>
        <v>0.23253409344958642</v>
      </c>
      <c r="AW74" s="67">
        <f>AP74/AI74</f>
        <v>0.18666301588091799</v>
      </c>
      <c r="AX74" s="67">
        <f>AQ74/AJ74</f>
        <v>0.1653869407496977</v>
      </c>
      <c r="AY74" s="67">
        <f>AR74/AK74</f>
        <v>0.19635335996304448</v>
      </c>
      <c r="AZ74" s="67">
        <f>AS74/AL74</f>
        <v>0.25219688932481932</v>
      </c>
      <c r="BA74" s="190">
        <f t="shared" ref="BA74" si="137">AT74/AM74</f>
        <v>0.25072509866701465</v>
      </c>
      <c r="BB74" s="68">
        <f t="shared" si="123"/>
        <v>0.29395886800742677</v>
      </c>
      <c r="BC74" s="276" t="s">
        <v>226</v>
      </c>
      <c r="BD74" s="69">
        <f>(AW74-$AV74)*100</f>
        <v>-4.5871077568668426</v>
      </c>
      <c r="BE74" s="69">
        <f>(AX74-$AV74)*100</f>
        <v>-6.7147152699888721</v>
      </c>
      <c r="BF74" s="69">
        <f>(AY74-$AV74)*100</f>
        <v>-3.6180733486541938</v>
      </c>
      <c r="BG74" s="69">
        <f>(AZ74-$AV74)*100</f>
        <v>1.9662795875232897</v>
      </c>
      <c r="BH74" s="199">
        <f t="shared" ref="BH74" si="138">(BA74-$AV74)*100</f>
        <v>1.8191005217428224</v>
      </c>
      <c r="BI74" s="70">
        <f t="shared" si="136"/>
        <v>6.142477455784034</v>
      </c>
      <c r="BJ74" s="60" t="s">
        <v>226</v>
      </c>
      <c r="BK74" s="71">
        <f>(AW74-AV74)*100</f>
        <v>-4.5871077568668426</v>
      </c>
      <c r="BL74" s="71">
        <f>(AX74-AW74)*100</f>
        <v>-2.1276075131220291</v>
      </c>
      <c r="BM74" s="71">
        <f>(AY74-AX74)*100</f>
        <v>3.0966419213346779</v>
      </c>
      <c r="BN74" s="71">
        <f>(AZ74-AY74)*100</f>
        <v>5.5843529361774831</v>
      </c>
      <c r="BO74" s="200">
        <f t="shared" ref="BO74" si="139">(BA74-AZ74)*100</f>
        <v>-0.14717906578046724</v>
      </c>
      <c r="BP74" s="72">
        <f t="shared" si="56"/>
        <v>4.323376934041212</v>
      </c>
      <c r="BQ74" s="276">
        <f>T74/M74</f>
        <v>1</v>
      </c>
      <c r="BR74" s="67">
        <f>U74/N74</f>
        <v>0.1</v>
      </c>
      <c r="BS74" s="67">
        <f>V74/O74</f>
        <v>0.19354838709677419</v>
      </c>
      <c r="BT74" s="190">
        <f t="shared" ref="BT74" si="140">W74/P74</f>
        <v>0.53333333333333333</v>
      </c>
      <c r="BU74" s="68">
        <f t="shared" si="133"/>
        <v>0.25806451612903225</v>
      </c>
      <c r="BV74" s="175">
        <f t="shared" si="134"/>
        <v>0</v>
      </c>
      <c r="BW74" s="73">
        <f t="shared" si="135"/>
        <v>3.3333333333333333E-2</v>
      </c>
    </row>
    <row r="75" spans="1:75" x14ac:dyDescent="0.25">
      <c r="A75" s="13">
        <v>64</v>
      </c>
      <c r="B75" s="59" t="s">
        <v>169</v>
      </c>
      <c r="C75" s="60">
        <v>3</v>
      </c>
      <c r="D75" s="61">
        <v>3</v>
      </c>
      <c r="E75" s="61">
        <v>3</v>
      </c>
      <c r="F75" s="145">
        <v>3</v>
      </c>
      <c r="G75" s="62"/>
      <c r="H75" s="60">
        <v>62</v>
      </c>
      <c r="I75" s="61">
        <v>64</v>
      </c>
      <c r="J75" s="61">
        <v>68</v>
      </c>
      <c r="K75" s="145">
        <v>70</v>
      </c>
      <c r="L75" s="62"/>
      <c r="M75" s="60">
        <v>12</v>
      </c>
      <c r="N75" s="61">
        <v>15</v>
      </c>
      <c r="O75" s="61">
        <v>8</v>
      </c>
      <c r="P75" s="145">
        <v>9</v>
      </c>
      <c r="Q75" s="62"/>
      <c r="R75" s="60">
        <v>0</v>
      </c>
      <c r="S75" s="61">
        <v>0</v>
      </c>
      <c r="T75" s="61">
        <v>0</v>
      </c>
      <c r="U75" s="61">
        <v>0</v>
      </c>
      <c r="V75" s="61">
        <v>0</v>
      </c>
      <c r="W75" s="145">
        <v>0</v>
      </c>
      <c r="X75" s="62"/>
      <c r="Y75" s="60">
        <v>21.15</v>
      </c>
      <c r="Z75" s="61">
        <v>21.12</v>
      </c>
      <c r="AA75" s="61">
        <v>27.32</v>
      </c>
      <c r="AB75" s="145">
        <v>20.7</v>
      </c>
      <c r="AC75" s="61">
        <v>20.32</v>
      </c>
      <c r="AD75" s="61"/>
      <c r="AE75" s="61"/>
      <c r="AF75" s="63">
        <v>20.6</v>
      </c>
      <c r="AG75" s="64"/>
      <c r="AH75" s="270">
        <v>8122</v>
      </c>
      <c r="AI75" s="65">
        <v>8680</v>
      </c>
      <c r="AJ75" s="65">
        <v>8698</v>
      </c>
      <c r="AK75" s="65">
        <v>8280</v>
      </c>
      <c r="AL75" s="65">
        <v>7728</v>
      </c>
      <c r="AM75" s="196">
        <v>7820</v>
      </c>
      <c r="AN75" s="66"/>
      <c r="AO75" s="270">
        <v>1292</v>
      </c>
      <c r="AP75" s="65">
        <v>1380</v>
      </c>
      <c r="AQ75" s="65">
        <v>1410</v>
      </c>
      <c r="AR75" s="65">
        <v>1440</v>
      </c>
      <c r="AS75" s="65">
        <v>775</v>
      </c>
      <c r="AT75" s="196">
        <v>367</v>
      </c>
      <c r="AU75" s="66"/>
      <c r="AV75" s="276">
        <f t="shared" ref="AV75:BA76" si="141">AO75/AH75</f>
        <v>0.15907411967495691</v>
      </c>
      <c r="AW75" s="67">
        <f t="shared" si="141"/>
        <v>0.15898617511520738</v>
      </c>
      <c r="AX75" s="67">
        <f t="shared" si="141"/>
        <v>0.16210623131754426</v>
      </c>
      <c r="AY75" s="67">
        <f t="shared" si="141"/>
        <v>0.17391304347826086</v>
      </c>
      <c r="AZ75" s="67">
        <f t="shared" si="141"/>
        <v>0.10028467908902691</v>
      </c>
      <c r="BA75" s="190">
        <v>4.7E-2</v>
      </c>
      <c r="BB75" s="190"/>
      <c r="BC75" s="276" t="s">
        <v>226</v>
      </c>
      <c r="BD75" s="69">
        <f t="shared" ref="BD75:BH76" si="142">(AW75-$AV75)*100</f>
        <v>-8.7944559749530971E-3</v>
      </c>
      <c r="BE75" s="69">
        <f t="shared" si="142"/>
        <v>0.30321116425873484</v>
      </c>
      <c r="BF75" s="69">
        <f t="shared" si="142"/>
        <v>1.4838923803303956</v>
      </c>
      <c r="BG75" s="69">
        <f t="shared" si="142"/>
        <v>-5.8789440585929995</v>
      </c>
      <c r="BH75" s="199">
        <f t="shared" si="142"/>
        <v>-11.207411967495691</v>
      </c>
      <c r="BI75" s="70"/>
      <c r="BJ75" s="60" t="s">
        <v>226</v>
      </c>
      <c r="BK75" s="71">
        <f t="shared" ref="BK75:BO76" si="143">(AW75-AV75)*100</f>
        <v>-8.7944559749530971E-3</v>
      </c>
      <c r="BL75" s="71">
        <f t="shared" si="143"/>
        <v>0.31200562023368794</v>
      </c>
      <c r="BM75" s="71">
        <f t="shared" si="143"/>
        <v>1.1806812160716607</v>
      </c>
      <c r="BN75" s="71">
        <f t="shared" si="143"/>
        <v>-7.3628364389233951</v>
      </c>
      <c r="BO75" s="200">
        <f t="shared" si="143"/>
        <v>-5.3284679089026916</v>
      </c>
      <c r="BP75" s="200"/>
      <c r="BQ75" s="276">
        <f t="shared" ref="BQ75:BT76" si="144">T75/M75</f>
        <v>0</v>
      </c>
      <c r="BR75" s="67">
        <f t="shared" si="144"/>
        <v>0</v>
      </c>
      <c r="BS75" s="67">
        <f t="shared" si="144"/>
        <v>0</v>
      </c>
      <c r="BT75" s="67">
        <f t="shared" si="144"/>
        <v>0</v>
      </c>
      <c r="BU75" s="68"/>
      <c r="BV75" s="175"/>
      <c r="BW75" s="73"/>
    </row>
    <row r="76" spans="1:75" x14ac:dyDescent="0.25">
      <c r="A76" s="13">
        <v>65</v>
      </c>
      <c r="B76" s="59" t="s">
        <v>35</v>
      </c>
      <c r="C76" s="60">
        <v>0</v>
      </c>
      <c r="D76" s="61">
        <v>0</v>
      </c>
      <c r="E76" s="61">
        <v>0</v>
      </c>
      <c r="F76" s="145">
        <v>0</v>
      </c>
      <c r="G76" s="62">
        <v>0</v>
      </c>
      <c r="H76" s="60">
        <v>310</v>
      </c>
      <c r="I76" s="61">
        <v>313</v>
      </c>
      <c r="J76" s="61">
        <v>315</v>
      </c>
      <c r="K76" s="145">
        <v>340</v>
      </c>
      <c r="L76" s="62">
        <v>330</v>
      </c>
      <c r="M76" s="60">
        <v>139</v>
      </c>
      <c r="N76" s="61">
        <v>146</v>
      </c>
      <c r="O76" s="61">
        <v>148</v>
      </c>
      <c r="P76" s="145">
        <v>125</v>
      </c>
      <c r="Q76" s="62">
        <v>108</v>
      </c>
      <c r="R76" s="60">
        <v>0</v>
      </c>
      <c r="S76" s="61">
        <v>0</v>
      </c>
      <c r="T76" s="61">
        <v>0</v>
      </c>
      <c r="U76" s="61">
        <v>0</v>
      </c>
      <c r="V76" s="61">
        <v>0</v>
      </c>
      <c r="W76" s="145">
        <v>7</v>
      </c>
      <c r="X76" s="62">
        <v>7</v>
      </c>
      <c r="Y76" s="60" t="s">
        <v>171</v>
      </c>
      <c r="Z76" s="61" t="s">
        <v>151</v>
      </c>
      <c r="AA76" s="61" t="s">
        <v>151</v>
      </c>
      <c r="AB76" s="145" t="s">
        <v>151</v>
      </c>
      <c r="AC76" s="61" t="s">
        <v>151</v>
      </c>
      <c r="AD76" s="91">
        <v>0.66</v>
      </c>
      <c r="AE76" s="61">
        <v>0.66</v>
      </c>
      <c r="AF76" s="145" t="s">
        <v>151</v>
      </c>
      <c r="AG76" s="145" t="s">
        <v>380</v>
      </c>
      <c r="AH76" s="270">
        <v>53719</v>
      </c>
      <c r="AI76" s="65">
        <v>52774</v>
      </c>
      <c r="AJ76" s="65">
        <v>65850</v>
      </c>
      <c r="AK76" s="65">
        <v>63722</v>
      </c>
      <c r="AL76" s="65">
        <v>67210</v>
      </c>
      <c r="AM76" s="196">
        <v>66758.55</v>
      </c>
      <c r="AN76" s="66">
        <v>66725</v>
      </c>
      <c r="AO76" s="270">
        <v>2650</v>
      </c>
      <c r="AP76" s="65">
        <v>-4845</v>
      </c>
      <c r="AQ76" s="65">
        <v>634</v>
      </c>
      <c r="AR76" s="65">
        <v>-2447</v>
      </c>
      <c r="AS76" s="65">
        <v>8147</v>
      </c>
      <c r="AT76" s="196">
        <v>1570.22</v>
      </c>
      <c r="AU76" s="66">
        <v>2442</v>
      </c>
      <c r="AV76" s="276">
        <f t="shared" si="141"/>
        <v>4.9330776820119514E-2</v>
      </c>
      <c r="AW76" s="67">
        <f t="shared" si="141"/>
        <v>-9.1806571417743579E-2</v>
      </c>
      <c r="AX76" s="67">
        <f t="shared" si="141"/>
        <v>9.6279422930903562E-3</v>
      </c>
      <c r="AY76" s="67">
        <f t="shared" si="141"/>
        <v>-3.8401180126173065E-2</v>
      </c>
      <c r="AZ76" s="67">
        <f t="shared" si="141"/>
        <v>0.12121708079154887</v>
      </c>
      <c r="BA76" s="190">
        <f t="shared" si="141"/>
        <v>2.3520882343909505E-2</v>
      </c>
      <c r="BB76" s="68">
        <f t="shared" si="123"/>
        <v>3.6597976770325967E-2</v>
      </c>
      <c r="BC76" s="276" t="s">
        <v>226</v>
      </c>
      <c r="BD76" s="69">
        <f t="shared" si="142"/>
        <v>-14.113734823786309</v>
      </c>
      <c r="BE76" s="69">
        <f t="shared" si="142"/>
        <v>-3.9702834527029154</v>
      </c>
      <c r="BF76" s="69">
        <f t="shared" si="142"/>
        <v>-8.7731956946292566</v>
      </c>
      <c r="BG76" s="69">
        <f t="shared" si="142"/>
        <v>7.1886303971429371</v>
      </c>
      <c r="BH76" s="199">
        <f t="shared" si="142"/>
        <v>-2.5809894476210009</v>
      </c>
      <c r="BI76" s="70">
        <f t="shared" si="136"/>
        <v>-1.2732800049793547</v>
      </c>
      <c r="BJ76" s="60" t="s">
        <v>226</v>
      </c>
      <c r="BK76" s="71">
        <f t="shared" si="143"/>
        <v>-14.113734823786309</v>
      </c>
      <c r="BL76" s="71">
        <f t="shared" si="143"/>
        <v>10.143451371083394</v>
      </c>
      <c r="BM76" s="71">
        <f t="shared" si="143"/>
        <v>-4.8029122419263421</v>
      </c>
      <c r="BN76" s="71">
        <f t="shared" si="143"/>
        <v>15.961826091772194</v>
      </c>
      <c r="BO76" s="200">
        <f t="shared" si="143"/>
        <v>-9.7696198447639375</v>
      </c>
      <c r="BP76" s="72">
        <f t="shared" si="56"/>
        <v>1.3077094426416462</v>
      </c>
      <c r="BQ76" s="276">
        <f t="shared" si="144"/>
        <v>0</v>
      </c>
      <c r="BR76" s="67">
        <f t="shared" si="144"/>
        <v>0</v>
      </c>
      <c r="BS76" s="67">
        <f t="shared" si="144"/>
        <v>0</v>
      </c>
      <c r="BT76" s="190">
        <f t="shared" si="144"/>
        <v>5.6000000000000001E-2</v>
      </c>
      <c r="BU76" s="68">
        <f t="shared" si="133"/>
        <v>6.4814814814814811E-2</v>
      </c>
      <c r="BV76" s="175"/>
      <c r="BW76" s="73">
        <f t="shared" si="135"/>
        <v>-0.13600000000000001</v>
      </c>
    </row>
    <row r="77" spans="1:75" x14ac:dyDescent="0.25">
      <c r="A77" s="13">
        <v>66</v>
      </c>
      <c r="B77" s="329" t="s">
        <v>173</v>
      </c>
      <c r="C77" s="60">
        <v>4</v>
      </c>
      <c r="D77" s="61">
        <v>4</v>
      </c>
      <c r="E77" s="61">
        <v>4</v>
      </c>
      <c r="F77" s="145">
        <v>3</v>
      </c>
      <c r="G77" s="62">
        <v>2</v>
      </c>
      <c r="H77" s="60">
        <v>8</v>
      </c>
      <c r="I77" s="61">
        <v>7</v>
      </c>
      <c r="J77" s="61">
        <v>8</v>
      </c>
      <c r="K77" s="145">
        <v>115</v>
      </c>
      <c r="L77" s="62">
        <v>112</v>
      </c>
      <c r="M77" s="60">
        <v>4</v>
      </c>
      <c r="N77" s="61">
        <v>4</v>
      </c>
      <c r="O77" s="61">
        <v>4</v>
      </c>
      <c r="P77" s="145">
        <v>38</v>
      </c>
      <c r="Q77" s="62">
        <v>40</v>
      </c>
      <c r="R77" s="60">
        <v>0</v>
      </c>
      <c r="S77" s="61">
        <v>0</v>
      </c>
      <c r="T77" s="61">
        <v>0</v>
      </c>
      <c r="U77" s="61">
        <v>0</v>
      </c>
      <c r="V77" s="61">
        <v>0</v>
      </c>
      <c r="W77" s="145">
        <v>0</v>
      </c>
      <c r="X77" s="62">
        <v>0</v>
      </c>
      <c r="Y77" s="60"/>
      <c r="Z77" s="63">
        <v>17.8</v>
      </c>
      <c r="AA77" s="61">
        <v>26.74</v>
      </c>
      <c r="AB77" s="145">
        <v>31.82</v>
      </c>
      <c r="AC77" s="61">
        <v>31.82</v>
      </c>
      <c r="AD77" s="91"/>
      <c r="AE77" s="61"/>
      <c r="AF77" s="152">
        <v>31.82</v>
      </c>
      <c r="AG77" s="152">
        <v>31.82</v>
      </c>
      <c r="AH77" s="270"/>
      <c r="AI77" s="65">
        <v>8301</v>
      </c>
      <c r="AJ77" s="65">
        <v>9460</v>
      </c>
      <c r="AK77" s="65">
        <v>15150</v>
      </c>
      <c r="AL77" s="65">
        <v>16261</v>
      </c>
      <c r="AM77" s="196">
        <v>56862</v>
      </c>
      <c r="AN77" s="66">
        <v>37336</v>
      </c>
      <c r="AO77" s="270"/>
      <c r="AP77" s="65">
        <v>2658</v>
      </c>
      <c r="AQ77" s="65">
        <v>1598</v>
      </c>
      <c r="AR77" s="65">
        <v>2497</v>
      </c>
      <c r="AS77" s="65">
        <v>4138</v>
      </c>
      <c r="AT77" s="196">
        <v>6752</v>
      </c>
      <c r="AU77" s="66">
        <v>8144</v>
      </c>
      <c r="AV77" s="276"/>
      <c r="AW77" s="67">
        <f t="shared" ref="AW77:BA77" si="145">AP77/AI77</f>
        <v>0.32020238525478856</v>
      </c>
      <c r="AX77" s="67">
        <f t="shared" si="145"/>
        <v>0.16892177589852009</v>
      </c>
      <c r="AY77" s="67">
        <f t="shared" si="145"/>
        <v>0.16481848184818482</v>
      </c>
      <c r="AZ77" s="67">
        <f t="shared" si="145"/>
        <v>0.25447389459442837</v>
      </c>
      <c r="BA77" s="190">
        <f t="shared" si="145"/>
        <v>0.11874362491646442</v>
      </c>
      <c r="BB77" s="68">
        <f t="shared" si="123"/>
        <v>0.21812727662309836</v>
      </c>
      <c r="BC77" s="276" t="s">
        <v>226</v>
      </c>
      <c r="BD77" s="69"/>
      <c r="BE77" s="69"/>
      <c r="BF77" s="69"/>
      <c r="BG77" s="69"/>
      <c r="BH77" s="199"/>
      <c r="BI77" s="70"/>
      <c r="BJ77" s="60" t="s">
        <v>226</v>
      </c>
      <c r="BK77" s="71"/>
      <c r="BL77" s="71">
        <f t="shared" ref="BL77:BP77" si="146">(AX77-AW77)*100</f>
        <v>-15.128060935626847</v>
      </c>
      <c r="BM77" s="71">
        <f t="shared" si="146"/>
        <v>-0.41032940503352711</v>
      </c>
      <c r="BN77" s="71">
        <f t="shared" si="146"/>
        <v>8.9655412746243552</v>
      </c>
      <c r="BO77" s="200">
        <f t="shared" si="146"/>
        <v>-13.573026967796395</v>
      </c>
      <c r="BP77" s="72">
        <f t="shared" si="146"/>
        <v>9.9383651706633938</v>
      </c>
      <c r="BQ77" s="276">
        <f t="shared" ref="BQ77:BT77" si="147">T77/M77</f>
        <v>0</v>
      </c>
      <c r="BR77" s="67">
        <f t="shared" si="147"/>
        <v>0</v>
      </c>
      <c r="BS77" s="67">
        <f t="shared" si="147"/>
        <v>0</v>
      </c>
      <c r="BT77" s="190">
        <f t="shared" si="147"/>
        <v>0</v>
      </c>
      <c r="BU77" s="68">
        <f t="shared" si="133"/>
        <v>0</v>
      </c>
      <c r="BV77" s="175">
        <f t="shared" si="134"/>
        <v>0</v>
      </c>
      <c r="BW77" s="73">
        <f t="shared" si="135"/>
        <v>5.2631578947368418E-2</v>
      </c>
    </row>
    <row r="78" spans="1:75" x14ac:dyDescent="0.25">
      <c r="A78" s="13">
        <v>66</v>
      </c>
      <c r="B78" s="59" t="s">
        <v>330</v>
      </c>
      <c r="C78" s="60"/>
      <c r="D78" s="61"/>
      <c r="E78" s="61"/>
      <c r="F78" s="145">
        <v>0</v>
      </c>
      <c r="G78" s="62"/>
      <c r="H78" s="60"/>
      <c r="I78" s="61"/>
      <c r="J78" s="61"/>
      <c r="K78" s="145">
        <v>222</v>
      </c>
      <c r="L78" s="62"/>
      <c r="M78" s="60"/>
      <c r="N78" s="61"/>
      <c r="O78" s="61"/>
      <c r="P78" s="145">
        <v>68</v>
      </c>
      <c r="Q78" s="62"/>
      <c r="R78" s="60"/>
      <c r="S78" s="61"/>
      <c r="T78" s="61"/>
      <c r="U78" s="61"/>
      <c r="V78" s="61"/>
      <c r="W78" s="145">
        <v>25</v>
      </c>
      <c r="X78" s="62"/>
      <c r="Y78" s="60"/>
      <c r="Z78" s="61"/>
      <c r="AA78" s="61"/>
      <c r="AB78" s="145"/>
      <c r="AC78" s="61"/>
      <c r="AD78" s="61"/>
      <c r="AE78" s="61"/>
      <c r="AF78" s="63"/>
      <c r="AG78" s="64"/>
      <c r="AH78" s="270"/>
      <c r="AI78" s="65"/>
      <c r="AJ78" s="65"/>
      <c r="AK78" s="65"/>
      <c r="AL78" s="65"/>
      <c r="AM78" s="196">
        <v>83762</v>
      </c>
      <c r="AN78" s="66"/>
      <c r="AO78" s="270"/>
      <c r="AP78" s="65"/>
      <c r="AQ78" s="65"/>
      <c r="AR78" s="65"/>
      <c r="AS78" s="65"/>
      <c r="AT78" s="196">
        <v>1873</v>
      </c>
      <c r="AU78" s="66"/>
      <c r="AV78" s="276"/>
      <c r="AW78" s="67"/>
      <c r="AX78" s="67"/>
      <c r="AY78" s="67"/>
      <c r="AZ78" s="67"/>
      <c r="BA78" s="190">
        <v>0.02</v>
      </c>
      <c r="BB78" s="190"/>
      <c r="BC78" s="276"/>
      <c r="BD78" s="69"/>
      <c r="BE78" s="69"/>
      <c r="BF78" s="69"/>
      <c r="BG78" s="69"/>
      <c r="BH78" s="199"/>
      <c r="BI78" s="70"/>
      <c r="BJ78" s="60"/>
      <c r="BK78" s="71"/>
      <c r="BL78" s="71"/>
      <c r="BM78" s="71"/>
      <c r="BN78" s="71"/>
      <c r="BO78" s="200"/>
      <c r="BP78" s="200"/>
      <c r="BQ78" s="276"/>
      <c r="BR78" s="67"/>
      <c r="BS78" s="67"/>
      <c r="BT78" s="67">
        <f t="shared" ref="BT78:BT79" si="148">W78/P78</f>
        <v>0.36764705882352944</v>
      </c>
      <c r="BU78" s="68"/>
      <c r="BV78" s="175"/>
      <c r="BW78" s="73"/>
    </row>
    <row r="79" spans="1:75" x14ac:dyDescent="0.25">
      <c r="A79" s="13">
        <v>66</v>
      </c>
      <c r="B79" s="59" t="s">
        <v>172</v>
      </c>
      <c r="C79" s="60">
        <v>0</v>
      </c>
      <c r="D79" s="61">
        <v>0</v>
      </c>
      <c r="E79" s="61">
        <v>0</v>
      </c>
      <c r="F79" s="145">
        <v>0</v>
      </c>
      <c r="G79" s="62">
        <v>0</v>
      </c>
      <c r="H79" s="60">
        <v>104</v>
      </c>
      <c r="I79" s="61">
        <v>104</v>
      </c>
      <c r="J79" s="61">
        <v>104</v>
      </c>
      <c r="K79" s="145">
        <v>104</v>
      </c>
      <c r="L79" s="62">
        <v>108</v>
      </c>
      <c r="M79" s="60">
        <v>48</v>
      </c>
      <c r="N79" s="61">
        <v>61</v>
      </c>
      <c r="O79" s="61">
        <v>53</v>
      </c>
      <c r="P79" s="145">
        <v>73</v>
      </c>
      <c r="Q79" s="62">
        <v>71</v>
      </c>
      <c r="R79" s="60"/>
      <c r="S79" s="61"/>
      <c r="T79" s="61"/>
      <c r="U79" s="61"/>
      <c r="V79" s="61"/>
      <c r="W79" s="145">
        <v>0</v>
      </c>
      <c r="X79" s="62">
        <v>0</v>
      </c>
      <c r="Y79" s="60" t="s">
        <v>141</v>
      </c>
      <c r="Z79" s="61" t="s">
        <v>410</v>
      </c>
      <c r="AA79" s="145" t="s">
        <v>407</v>
      </c>
      <c r="AB79" s="145" t="s">
        <v>407</v>
      </c>
      <c r="AC79" s="145" t="s">
        <v>407</v>
      </c>
      <c r="AD79" s="145" t="s">
        <v>409</v>
      </c>
      <c r="AE79" s="145" t="s">
        <v>408</v>
      </c>
      <c r="AF79" s="145" t="s">
        <v>407</v>
      </c>
      <c r="AG79" s="145" t="s">
        <v>407</v>
      </c>
      <c r="AH79" s="270">
        <v>18510</v>
      </c>
      <c r="AI79" s="65">
        <v>22326</v>
      </c>
      <c r="AJ79" s="65">
        <v>33401</v>
      </c>
      <c r="AK79" s="65">
        <v>34436</v>
      </c>
      <c r="AL79" s="65">
        <v>35564</v>
      </c>
      <c r="AM79" s="196">
        <v>39048</v>
      </c>
      <c r="AN79" s="66">
        <v>33367</v>
      </c>
      <c r="AO79" s="270">
        <v>2552</v>
      </c>
      <c r="AP79" s="65">
        <v>2673</v>
      </c>
      <c r="AQ79" s="65">
        <v>3952</v>
      </c>
      <c r="AR79" s="65">
        <v>7148</v>
      </c>
      <c r="AS79" s="65">
        <v>13106</v>
      </c>
      <c r="AT79" s="196">
        <v>12292</v>
      </c>
      <c r="AU79" s="66">
        <v>8241</v>
      </c>
      <c r="AV79" s="276">
        <f t="shared" ref="AV79:BA79" si="149">AO79/AH79</f>
        <v>0.13787142085359266</v>
      </c>
      <c r="AW79" s="67">
        <f t="shared" si="149"/>
        <v>0.11972588013974737</v>
      </c>
      <c r="AX79" s="67">
        <f t="shared" si="149"/>
        <v>0.11831981078410826</v>
      </c>
      <c r="AY79" s="67">
        <f t="shared" si="149"/>
        <v>0.20757346962481124</v>
      </c>
      <c r="AZ79" s="67">
        <f t="shared" si="149"/>
        <v>0.36851872680238446</v>
      </c>
      <c r="BA79" s="190">
        <f t="shared" si="149"/>
        <v>0.31479205080926037</v>
      </c>
      <c r="BB79" s="68">
        <f t="shared" si="123"/>
        <v>0.24698054964485869</v>
      </c>
      <c r="BC79" s="276" t="s">
        <v>226</v>
      </c>
      <c r="BD79" s="69">
        <f t="shared" ref="BD79:BH79" si="150">(AW79-$AV79)*100</f>
        <v>-1.814554071384529</v>
      </c>
      <c r="BE79" s="69">
        <f t="shared" si="150"/>
        <v>-1.9551610069484402</v>
      </c>
      <c r="BF79" s="69">
        <f t="shared" si="150"/>
        <v>6.9702048771218577</v>
      </c>
      <c r="BG79" s="69">
        <f t="shared" si="150"/>
        <v>23.06473059487918</v>
      </c>
      <c r="BH79" s="199">
        <f t="shared" si="150"/>
        <v>17.692062995566772</v>
      </c>
      <c r="BI79" s="70">
        <f t="shared" si="136"/>
        <v>10.910912879126602</v>
      </c>
      <c r="BJ79" s="60" t="s">
        <v>226</v>
      </c>
      <c r="BK79" s="71">
        <f t="shared" ref="BK79:BO79" si="151">(AW79-AV79)*100</f>
        <v>-1.814554071384529</v>
      </c>
      <c r="BL79" s="71">
        <f t="shared" si="151"/>
        <v>-0.14060693556391113</v>
      </c>
      <c r="BM79" s="71">
        <f t="shared" si="151"/>
        <v>8.9253658840702972</v>
      </c>
      <c r="BN79" s="71">
        <f t="shared" si="151"/>
        <v>16.094525717757321</v>
      </c>
      <c r="BO79" s="200">
        <f t="shared" si="151"/>
        <v>-5.3726675993124084</v>
      </c>
      <c r="BP79" s="72">
        <f t="shared" ref="BP79:BP133" si="152">(BB79-BA79)*100</f>
        <v>-6.781150116440168</v>
      </c>
      <c r="BQ79" s="276">
        <f t="shared" ref="BQ79:BS79" si="153">T79/M79</f>
        <v>0</v>
      </c>
      <c r="BR79" s="67">
        <f t="shared" si="153"/>
        <v>0</v>
      </c>
      <c r="BS79" s="67">
        <f t="shared" si="153"/>
        <v>0</v>
      </c>
      <c r="BT79" s="190">
        <f t="shared" si="148"/>
        <v>0</v>
      </c>
      <c r="BU79" s="68">
        <f t="shared" si="133"/>
        <v>0</v>
      </c>
      <c r="BV79" s="175"/>
      <c r="BW79" s="73">
        <f t="shared" si="135"/>
        <v>-2.7397260273972601E-2</v>
      </c>
    </row>
    <row r="80" spans="1:75" x14ac:dyDescent="0.25">
      <c r="A80" s="13">
        <v>70</v>
      </c>
      <c r="B80" s="59" t="s">
        <v>176</v>
      </c>
      <c r="C80" s="60">
        <v>0</v>
      </c>
      <c r="D80" s="61">
        <v>0</v>
      </c>
      <c r="E80" s="61">
        <v>0</v>
      </c>
      <c r="F80" s="145">
        <v>6</v>
      </c>
      <c r="G80" s="62">
        <v>0</v>
      </c>
      <c r="H80" s="60">
        <v>160</v>
      </c>
      <c r="I80" s="61">
        <v>160</v>
      </c>
      <c r="J80" s="61">
        <v>160</v>
      </c>
      <c r="K80" s="145">
        <v>158</v>
      </c>
      <c r="L80" s="62">
        <v>152</v>
      </c>
      <c r="M80" s="60">
        <v>35</v>
      </c>
      <c r="N80" s="61">
        <v>51</v>
      </c>
      <c r="O80" s="61">
        <v>36</v>
      </c>
      <c r="P80" s="145">
        <v>35</v>
      </c>
      <c r="Q80" s="62">
        <v>20</v>
      </c>
      <c r="R80" s="60">
        <v>7</v>
      </c>
      <c r="S80" s="61">
        <v>0</v>
      </c>
      <c r="T80" s="61">
        <v>12</v>
      </c>
      <c r="U80" s="61">
        <v>0</v>
      </c>
      <c r="V80" s="61">
        <v>0</v>
      </c>
      <c r="W80" s="145">
        <v>7</v>
      </c>
      <c r="X80" s="62">
        <v>3</v>
      </c>
      <c r="Y80" s="60"/>
      <c r="Z80" s="61">
        <v>25.98</v>
      </c>
      <c r="AA80" s="61">
        <v>31.18</v>
      </c>
      <c r="AB80" s="145">
        <v>36.369999999999997</v>
      </c>
      <c r="AC80" s="61">
        <v>34.56</v>
      </c>
      <c r="AD80" s="91"/>
      <c r="AE80" s="61"/>
      <c r="AF80" s="145">
        <v>34.56</v>
      </c>
      <c r="AG80" s="62">
        <v>35.47</v>
      </c>
      <c r="AH80" s="270"/>
      <c r="AI80" s="65"/>
      <c r="AJ80" s="65"/>
      <c r="AK80" s="65">
        <v>35881</v>
      </c>
      <c r="AL80" s="65">
        <v>33804</v>
      </c>
      <c r="AM80" s="196">
        <v>36795</v>
      </c>
      <c r="AN80" s="66">
        <v>37323</v>
      </c>
      <c r="AO80" s="270"/>
      <c r="AP80" s="65"/>
      <c r="AQ80" s="65"/>
      <c r="AR80" s="65">
        <v>3051</v>
      </c>
      <c r="AS80" s="65">
        <v>5023</v>
      </c>
      <c r="AT80" s="196">
        <v>3935</v>
      </c>
      <c r="AU80" s="66">
        <v>3347</v>
      </c>
      <c r="AV80" s="276"/>
      <c r="AW80" s="67"/>
      <c r="AX80" s="67"/>
      <c r="AY80" s="67">
        <f t="shared" ref="AY80:BA82" si="154">AR80/AK80</f>
        <v>8.5031074942169951E-2</v>
      </c>
      <c r="AZ80" s="67">
        <f t="shared" si="154"/>
        <v>0.14859188261744172</v>
      </c>
      <c r="BA80" s="190">
        <f t="shared" si="154"/>
        <v>0.10694387824432668</v>
      </c>
      <c r="BB80" s="68">
        <f t="shared" si="123"/>
        <v>8.9676606917986235E-2</v>
      </c>
      <c r="BC80" s="276" t="s">
        <v>226</v>
      </c>
      <c r="BD80" s="69"/>
      <c r="BE80" s="69"/>
      <c r="BF80" s="69"/>
      <c r="BG80" s="69"/>
      <c r="BH80" s="199"/>
      <c r="BI80" s="70"/>
      <c r="BJ80" s="60" t="s">
        <v>226</v>
      </c>
      <c r="BK80" s="71"/>
      <c r="BL80" s="71"/>
      <c r="BM80" s="71"/>
      <c r="BN80" s="71">
        <f t="shared" ref="BN80:BO80" si="155">(AZ80-AY80)*100</f>
        <v>6.3560807675271764</v>
      </c>
      <c r="BO80" s="200">
        <f t="shared" si="155"/>
        <v>-4.164800437311504</v>
      </c>
      <c r="BP80" s="72">
        <f t="shared" si="152"/>
        <v>-1.7267271326340441</v>
      </c>
      <c r="BQ80" s="276">
        <f t="shared" ref="BQ80:BT82" si="156">T80/M80</f>
        <v>0.34285714285714286</v>
      </c>
      <c r="BR80" s="67">
        <f t="shared" si="156"/>
        <v>0</v>
      </c>
      <c r="BS80" s="67">
        <f t="shared" si="156"/>
        <v>0</v>
      </c>
      <c r="BT80" s="190">
        <f t="shared" si="156"/>
        <v>0.2</v>
      </c>
      <c r="BU80" s="68">
        <f t="shared" si="133"/>
        <v>0.15</v>
      </c>
      <c r="BV80" s="175">
        <f t="shared" si="134"/>
        <v>2.6331018518518417E-2</v>
      </c>
      <c r="BW80" s="73">
        <f t="shared" si="135"/>
        <v>-0.42857142857142855</v>
      </c>
    </row>
    <row r="81" spans="1:75" x14ac:dyDescent="0.25">
      <c r="A81" s="13">
        <v>70</v>
      </c>
      <c r="B81" s="59" t="s">
        <v>177</v>
      </c>
      <c r="C81" s="60">
        <v>0</v>
      </c>
      <c r="D81" s="61">
        <v>0</v>
      </c>
      <c r="E81" s="61">
        <v>0</v>
      </c>
      <c r="F81" s="145">
        <v>3</v>
      </c>
      <c r="G81" s="62">
        <v>3</v>
      </c>
      <c r="H81" s="60">
        <v>53</v>
      </c>
      <c r="I81" s="61">
        <v>53</v>
      </c>
      <c r="J81" s="61">
        <v>53</v>
      </c>
      <c r="K81" s="145">
        <v>53</v>
      </c>
      <c r="L81" s="62">
        <v>53</v>
      </c>
      <c r="M81" s="60">
        <v>1</v>
      </c>
      <c r="N81" s="61">
        <v>7</v>
      </c>
      <c r="O81" s="61">
        <v>13</v>
      </c>
      <c r="P81" s="145">
        <v>18</v>
      </c>
      <c r="Q81" s="62">
        <v>12</v>
      </c>
      <c r="R81" s="60"/>
      <c r="S81" s="61"/>
      <c r="T81" s="61">
        <v>1</v>
      </c>
      <c r="U81" s="61">
        <v>1</v>
      </c>
      <c r="V81" s="61"/>
      <c r="W81" s="145">
        <v>1</v>
      </c>
      <c r="X81" s="62">
        <v>1</v>
      </c>
      <c r="Y81" s="85">
        <v>22.6</v>
      </c>
      <c r="Z81" s="61">
        <v>32.9</v>
      </c>
      <c r="AA81" s="61">
        <v>46.08</v>
      </c>
      <c r="AB81" s="145">
        <v>39.72</v>
      </c>
      <c r="AC81" s="61">
        <v>39.72</v>
      </c>
      <c r="AD81" s="91"/>
      <c r="AE81" s="61"/>
      <c r="AF81" s="152">
        <v>39.72</v>
      </c>
      <c r="AG81" s="152">
        <v>39.72</v>
      </c>
      <c r="AH81" s="270">
        <v>9184</v>
      </c>
      <c r="AI81" s="65">
        <v>9907</v>
      </c>
      <c r="AJ81" s="65">
        <v>16094</v>
      </c>
      <c r="AK81" s="65">
        <v>20406</v>
      </c>
      <c r="AL81" s="65">
        <v>19928</v>
      </c>
      <c r="AM81" s="196">
        <v>19618</v>
      </c>
      <c r="AN81" s="66">
        <v>16343</v>
      </c>
      <c r="AO81" s="270"/>
      <c r="AP81" s="65"/>
      <c r="AQ81" s="65"/>
      <c r="AR81" s="65">
        <v>936</v>
      </c>
      <c r="AS81" s="65">
        <v>3715</v>
      </c>
      <c r="AT81" s="196">
        <v>3505</v>
      </c>
      <c r="AU81" s="66">
        <v>2028</v>
      </c>
      <c r="AV81" s="276">
        <f t="shared" ref="AV81:AX81" si="157">AO81/AH81</f>
        <v>0</v>
      </c>
      <c r="AW81" s="67">
        <f t="shared" si="157"/>
        <v>0</v>
      </c>
      <c r="AX81" s="67">
        <f t="shared" si="157"/>
        <v>0</v>
      </c>
      <c r="AY81" s="67">
        <f t="shared" si="154"/>
        <v>4.5868862099382533E-2</v>
      </c>
      <c r="AZ81" s="67">
        <f t="shared" si="154"/>
        <v>0.18642111601766359</v>
      </c>
      <c r="BA81" s="190">
        <f t="shared" si="154"/>
        <v>0.178662452849424</v>
      </c>
      <c r="BB81" s="68">
        <f t="shared" si="123"/>
        <v>0.12408982438964694</v>
      </c>
      <c r="BC81" s="276" t="s">
        <v>226</v>
      </c>
      <c r="BD81" s="69"/>
      <c r="BE81" s="69"/>
      <c r="BF81" s="69"/>
      <c r="BG81" s="69"/>
      <c r="BH81" s="199"/>
      <c r="BI81" s="70"/>
      <c r="BJ81" s="60" t="s">
        <v>226</v>
      </c>
      <c r="BK81" s="71"/>
      <c r="BL81" s="71"/>
      <c r="BM81" s="71">
        <f t="shared" ref="BM81:BO81" si="158">(AY81-AX81)*100</f>
        <v>4.5868862099382532</v>
      </c>
      <c r="BN81" s="71">
        <f t="shared" si="158"/>
        <v>14.055225391828104</v>
      </c>
      <c r="BO81" s="200">
        <f t="shared" si="158"/>
        <v>-0.77586631682395879</v>
      </c>
      <c r="BP81" s="72">
        <f t="shared" si="152"/>
        <v>-5.4572628459777057</v>
      </c>
      <c r="BQ81" s="276">
        <f t="shared" si="156"/>
        <v>1</v>
      </c>
      <c r="BR81" s="67">
        <f t="shared" si="156"/>
        <v>0.14285714285714285</v>
      </c>
      <c r="BS81" s="67">
        <f t="shared" si="156"/>
        <v>0</v>
      </c>
      <c r="BT81" s="190">
        <f t="shared" si="156"/>
        <v>5.5555555555555552E-2</v>
      </c>
      <c r="BU81" s="68">
        <f t="shared" si="133"/>
        <v>8.3333333333333329E-2</v>
      </c>
      <c r="BV81" s="175">
        <f t="shared" si="134"/>
        <v>0</v>
      </c>
      <c r="BW81" s="73">
        <f t="shared" si="135"/>
        <v>-0.33333333333333331</v>
      </c>
    </row>
    <row r="82" spans="1:75" x14ac:dyDescent="0.25">
      <c r="A82" s="13">
        <v>71</v>
      </c>
      <c r="B82" s="59" t="s">
        <v>38</v>
      </c>
      <c r="C82" s="60"/>
      <c r="D82" s="61"/>
      <c r="E82" s="61"/>
      <c r="F82" s="145">
        <v>1</v>
      </c>
      <c r="G82" s="62">
        <v>3</v>
      </c>
      <c r="H82" s="60"/>
      <c r="I82" s="61"/>
      <c r="J82" s="61"/>
      <c r="K82" s="145">
        <v>579</v>
      </c>
      <c r="L82" s="62">
        <v>487</v>
      </c>
      <c r="M82" s="60"/>
      <c r="N82" s="61"/>
      <c r="O82" s="61"/>
      <c r="P82" s="145">
        <v>136</v>
      </c>
      <c r="Q82" s="62">
        <v>121</v>
      </c>
      <c r="R82" s="60"/>
      <c r="S82" s="61"/>
      <c r="T82" s="61"/>
      <c r="U82" s="61"/>
      <c r="V82" s="61"/>
      <c r="W82" s="145">
        <v>74</v>
      </c>
      <c r="X82" s="62">
        <v>46</v>
      </c>
      <c r="Y82" s="60"/>
      <c r="Z82" s="61"/>
      <c r="AA82" s="61"/>
      <c r="AB82" s="145"/>
      <c r="AC82" s="61"/>
      <c r="AD82" s="91"/>
      <c r="AE82" s="61"/>
      <c r="AF82" s="152"/>
      <c r="AG82" s="64">
        <v>33.380000000000003</v>
      </c>
      <c r="AH82" s="270"/>
      <c r="AI82" s="65"/>
      <c r="AJ82" s="65"/>
      <c r="AK82" s="65"/>
      <c r="AL82" s="65"/>
      <c r="AM82" s="196">
        <v>180675</v>
      </c>
      <c r="AN82" s="66">
        <v>172425</v>
      </c>
      <c r="AO82" s="270"/>
      <c r="AP82" s="65"/>
      <c r="AQ82" s="65"/>
      <c r="AR82" s="65"/>
      <c r="AS82" s="65"/>
      <c r="AT82" s="196">
        <v>74687</v>
      </c>
      <c r="AU82" s="66">
        <v>27761</v>
      </c>
      <c r="AV82" s="276"/>
      <c r="AW82" s="67"/>
      <c r="AX82" s="67"/>
      <c r="AY82" s="67"/>
      <c r="AZ82" s="67"/>
      <c r="BA82" s="190">
        <f t="shared" si="154"/>
        <v>0.41337761173377613</v>
      </c>
      <c r="BB82" s="68">
        <f t="shared" si="123"/>
        <v>0.16100333478323908</v>
      </c>
      <c r="BC82" s="276" t="s">
        <v>226</v>
      </c>
      <c r="BD82" s="69"/>
      <c r="BE82" s="69"/>
      <c r="BF82" s="69"/>
      <c r="BG82" s="69"/>
      <c r="BH82" s="199"/>
      <c r="BI82" s="70"/>
      <c r="BJ82" s="60" t="s">
        <v>226</v>
      </c>
      <c r="BK82" s="71"/>
      <c r="BL82" s="71"/>
      <c r="BM82" s="71"/>
      <c r="BN82" s="71"/>
      <c r="BO82" s="200"/>
      <c r="BP82" s="72">
        <f t="shared" si="152"/>
        <v>-25.237427695053704</v>
      </c>
      <c r="BQ82" s="276"/>
      <c r="BR82" s="67"/>
      <c r="BS82" s="67"/>
      <c r="BT82" s="190">
        <f t="shared" si="156"/>
        <v>0.54411764705882348</v>
      </c>
      <c r="BU82" s="68">
        <f t="shared" si="133"/>
        <v>0.38016528925619836</v>
      </c>
      <c r="BV82" s="175"/>
      <c r="BW82" s="73">
        <f t="shared" si="135"/>
        <v>-0.11029411764705882</v>
      </c>
    </row>
    <row r="83" spans="1:75" x14ac:dyDescent="0.25">
      <c r="A83" s="13">
        <v>74</v>
      </c>
      <c r="B83" s="59" t="s">
        <v>40</v>
      </c>
      <c r="C83" s="60">
        <v>23</v>
      </c>
      <c r="D83" s="61">
        <v>25</v>
      </c>
      <c r="E83" s="61">
        <v>25</v>
      </c>
      <c r="F83" s="145"/>
      <c r="G83" s="62"/>
      <c r="H83" s="60">
        <v>0</v>
      </c>
      <c r="I83" s="61">
        <v>0</v>
      </c>
      <c r="J83" s="61">
        <v>0</v>
      </c>
      <c r="K83" s="145"/>
      <c r="L83" s="62"/>
      <c r="M83" s="60">
        <v>30</v>
      </c>
      <c r="N83" s="61">
        <v>70</v>
      </c>
      <c r="O83" s="61">
        <v>92</v>
      </c>
      <c r="P83" s="145"/>
      <c r="Q83" s="62"/>
      <c r="R83" s="60">
        <v>0</v>
      </c>
      <c r="S83" s="61">
        <v>0</v>
      </c>
      <c r="T83" s="61">
        <v>1</v>
      </c>
      <c r="U83" s="61">
        <v>3</v>
      </c>
      <c r="V83" s="61">
        <v>15</v>
      </c>
      <c r="W83" s="145"/>
      <c r="X83" s="62"/>
      <c r="Y83" s="60"/>
      <c r="Z83" s="61">
        <v>26.37</v>
      </c>
      <c r="AA83" s="61">
        <v>30.42</v>
      </c>
      <c r="AB83" s="145">
        <v>26.43</v>
      </c>
      <c r="AC83" s="61">
        <v>26.43</v>
      </c>
      <c r="AD83" s="61"/>
      <c r="AE83" s="61"/>
      <c r="AF83" s="63"/>
      <c r="AG83" s="64"/>
      <c r="AH83" s="270"/>
      <c r="AI83" s="65"/>
      <c r="AJ83" s="65">
        <v>146958</v>
      </c>
      <c r="AK83" s="65">
        <v>138925</v>
      </c>
      <c r="AL83" s="65">
        <v>71803</v>
      </c>
      <c r="AM83" s="196"/>
      <c r="AN83" s="66"/>
      <c r="AO83" s="270"/>
      <c r="AP83" s="65"/>
      <c r="AQ83" s="65">
        <v>34041</v>
      </c>
      <c r="AR83" s="65">
        <v>38285</v>
      </c>
      <c r="AS83" s="65">
        <v>25987</v>
      </c>
      <c r="AT83" s="196"/>
      <c r="AU83" s="66"/>
      <c r="AV83" s="276"/>
      <c r="AW83" s="67"/>
      <c r="AX83" s="67">
        <f>AQ83/AJ83</f>
        <v>0.2316376107459274</v>
      </c>
      <c r="AY83" s="67">
        <f>AR83/AK83</f>
        <v>0.27558034910923163</v>
      </c>
      <c r="AZ83" s="67">
        <f>AS83/AL83</f>
        <v>0.36192081110817098</v>
      </c>
      <c r="BA83" s="190"/>
      <c r="BB83" s="190"/>
      <c r="BC83" s="276" t="s">
        <v>226</v>
      </c>
      <c r="BD83" s="69"/>
      <c r="BE83" s="69"/>
      <c r="BF83" s="69"/>
      <c r="BG83" s="69"/>
      <c r="BH83" s="199"/>
      <c r="BI83" s="70"/>
      <c r="BJ83" s="60" t="s">
        <v>226</v>
      </c>
      <c r="BK83" s="71"/>
      <c r="BL83" s="71"/>
      <c r="BM83" s="71">
        <f>(AY83-AX83)*100</f>
        <v>4.3942738363304228</v>
      </c>
      <c r="BN83" s="71">
        <f>(AZ83-AY83)*100</f>
        <v>8.6340461998939357</v>
      </c>
      <c r="BO83" s="200"/>
      <c r="BP83" s="200"/>
      <c r="BQ83" s="276">
        <f>T83/M83</f>
        <v>3.3333333333333333E-2</v>
      </c>
      <c r="BR83" s="67">
        <f>U83/N83</f>
        <v>4.2857142857142858E-2</v>
      </c>
      <c r="BS83" s="67">
        <f>V83/O83</f>
        <v>0.16304347826086957</v>
      </c>
      <c r="BT83" s="67"/>
      <c r="BU83" s="68"/>
      <c r="BV83" s="175"/>
      <c r="BW83" s="73"/>
    </row>
    <row r="84" spans="1:75" x14ac:dyDescent="0.25">
      <c r="A84" s="13">
        <v>74</v>
      </c>
      <c r="B84" s="59" t="s">
        <v>332</v>
      </c>
      <c r="C84" s="60"/>
      <c r="D84" s="61"/>
      <c r="E84" s="61"/>
      <c r="F84" s="145">
        <v>0</v>
      </c>
      <c r="G84" s="62">
        <v>24</v>
      </c>
      <c r="H84" s="60"/>
      <c r="I84" s="61"/>
      <c r="J84" s="61"/>
      <c r="K84" s="145">
        <v>1019</v>
      </c>
      <c r="L84" s="62">
        <v>1048</v>
      </c>
      <c r="M84" s="60"/>
      <c r="N84" s="61"/>
      <c r="O84" s="61"/>
      <c r="P84" s="145">
        <v>254</v>
      </c>
      <c r="Q84" s="62">
        <v>252</v>
      </c>
      <c r="R84" s="60"/>
      <c r="S84" s="61"/>
      <c r="T84" s="61"/>
      <c r="U84" s="61"/>
      <c r="V84" s="61"/>
      <c r="W84" s="145">
        <v>9</v>
      </c>
      <c r="X84" s="62">
        <v>35</v>
      </c>
      <c r="Y84" s="60"/>
      <c r="Z84" s="61"/>
      <c r="AA84" s="61"/>
      <c r="AB84" s="145"/>
      <c r="AC84" s="61"/>
      <c r="AD84" s="91"/>
      <c r="AE84" s="61"/>
      <c r="AF84" s="152">
        <v>47.21</v>
      </c>
      <c r="AG84" s="152">
        <v>47.21</v>
      </c>
      <c r="AH84" s="270"/>
      <c r="AI84" s="65"/>
      <c r="AJ84" s="65"/>
      <c r="AK84" s="65"/>
      <c r="AL84" s="65"/>
      <c r="AM84" s="196">
        <v>291843.7</v>
      </c>
      <c r="AN84" s="66">
        <v>284867.25</v>
      </c>
      <c r="AO84" s="270"/>
      <c r="AP84" s="65"/>
      <c r="AQ84" s="65"/>
      <c r="AR84" s="65"/>
      <c r="AS84" s="65"/>
      <c r="AT84" s="196">
        <v>132756.99</v>
      </c>
      <c r="AU84" s="66">
        <v>23212.06</v>
      </c>
      <c r="AV84" s="276"/>
      <c r="AW84" s="67"/>
      <c r="AX84" s="67"/>
      <c r="AY84" s="67"/>
      <c r="AZ84" s="67"/>
      <c r="BA84" s="190">
        <f t="shared" ref="BA84" si="159">AT84/AM84</f>
        <v>0.4548907171886869</v>
      </c>
      <c r="BB84" s="68">
        <f t="shared" si="123"/>
        <v>8.1483778847866867E-2</v>
      </c>
      <c r="BC84" s="276"/>
      <c r="BD84" s="69"/>
      <c r="BE84" s="69"/>
      <c r="BF84" s="69"/>
      <c r="BG84" s="69"/>
      <c r="BH84" s="199"/>
      <c r="BI84" s="70"/>
      <c r="BJ84" s="60"/>
      <c r="BK84" s="71"/>
      <c r="BL84" s="71"/>
      <c r="BM84" s="71"/>
      <c r="BN84" s="71"/>
      <c r="BO84" s="200"/>
      <c r="BP84" s="72">
        <f t="shared" si="152"/>
        <v>-37.340693834082003</v>
      </c>
      <c r="BQ84" s="276"/>
      <c r="BR84" s="67"/>
      <c r="BS84" s="67"/>
      <c r="BT84" s="190">
        <f t="shared" ref="BT84" si="160">W84/P84</f>
        <v>3.5433070866141732E-2</v>
      </c>
      <c r="BU84" s="68">
        <f t="shared" si="133"/>
        <v>0.1388888888888889</v>
      </c>
      <c r="BV84" s="175">
        <f t="shared" si="134"/>
        <v>0</v>
      </c>
      <c r="BW84" s="73">
        <f t="shared" si="135"/>
        <v>-7.874015748031496E-3</v>
      </c>
    </row>
    <row r="85" spans="1:75" x14ac:dyDescent="0.25">
      <c r="A85" s="13">
        <v>74</v>
      </c>
      <c r="B85" s="59" t="s">
        <v>333</v>
      </c>
      <c r="C85" s="60"/>
      <c r="D85" s="61"/>
      <c r="E85" s="61"/>
      <c r="F85" s="145">
        <v>0</v>
      </c>
      <c r="G85" s="62"/>
      <c r="H85" s="60"/>
      <c r="I85" s="61"/>
      <c r="J85" s="61"/>
      <c r="K85" s="145">
        <v>646</v>
      </c>
      <c r="L85" s="62"/>
      <c r="M85" s="60"/>
      <c r="N85" s="61"/>
      <c r="O85" s="61"/>
      <c r="P85" s="145">
        <v>148</v>
      </c>
      <c r="Q85" s="62"/>
      <c r="R85" s="60"/>
      <c r="S85" s="61"/>
      <c r="T85" s="61"/>
      <c r="U85" s="61"/>
      <c r="V85" s="61"/>
      <c r="W85" s="145">
        <v>43</v>
      </c>
      <c r="X85" s="62"/>
      <c r="Y85" s="60"/>
      <c r="Z85" s="61"/>
      <c r="AA85" s="61"/>
      <c r="AB85" s="145"/>
      <c r="AC85" s="61"/>
      <c r="AD85" s="61"/>
      <c r="AE85" s="61"/>
      <c r="AF85" s="63">
        <v>34.19</v>
      </c>
      <c r="AG85" s="64"/>
      <c r="AH85" s="270"/>
      <c r="AI85" s="65"/>
      <c r="AJ85" s="65"/>
      <c r="AK85" s="65"/>
      <c r="AL85" s="65"/>
      <c r="AM85" s="196">
        <v>185592.39</v>
      </c>
      <c r="AN85" s="66"/>
      <c r="AO85" s="270"/>
      <c r="AP85" s="65"/>
      <c r="AQ85" s="65"/>
      <c r="AR85" s="65"/>
      <c r="AS85" s="65"/>
      <c r="AT85" s="196">
        <v>42309.09</v>
      </c>
      <c r="AU85" s="66"/>
      <c r="AV85" s="276"/>
      <c r="AW85" s="67"/>
      <c r="AX85" s="67"/>
      <c r="AY85" s="67"/>
      <c r="AZ85" s="67"/>
      <c r="BA85" s="190">
        <v>0.23</v>
      </c>
      <c r="BB85" s="190"/>
      <c r="BC85" s="276"/>
      <c r="BD85" s="69"/>
      <c r="BE85" s="69"/>
      <c r="BF85" s="69"/>
      <c r="BG85" s="69"/>
      <c r="BH85" s="199"/>
      <c r="BI85" s="70"/>
      <c r="BJ85" s="60"/>
      <c r="BK85" s="71"/>
      <c r="BL85" s="71"/>
      <c r="BM85" s="71"/>
      <c r="BN85" s="71"/>
      <c r="BO85" s="200"/>
      <c r="BP85" s="200"/>
      <c r="BQ85" s="276"/>
      <c r="BR85" s="67"/>
      <c r="BS85" s="67"/>
      <c r="BT85" s="67">
        <f t="shared" ref="BT85:BT86" si="161">W85/P85</f>
        <v>0.29054054054054052</v>
      </c>
      <c r="BU85" s="68"/>
      <c r="BV85" s="175">
        <f t="shared" si="134"/>
        <v>-1</v>
      </c>
      <c r="BW85" s="73">
        <f t="shared" si="135"/>
        <v>-1</v>
      </c>
    </row>
    <row r="86" spans="1:75" x14ac:dyDescent="0.25">
      <c r="A86" s="13">
        <v>75</v>
      </c>
      <c r="B86" s="59" t="s">
        <v>41</v>
      </c>
      <c r="C86" s="60"/>
      <c r="D86" s="61"/>
      <c r="E86" s="61"/>
      <c r="F86" s="145">
        <v>0</v>
      </c>
      <c r="G86" s="62">
        <v>0</v>
      </c>
      <c r="H86" s="60"/>
      <c r="I86" s="61"/>
      <c r="J86" s="61"/>
      <c r="K86" s="145">
        <v>243</v>
      </c>
      <c r="L86" s="62">
        <v>243</v>
      </c>
      <c r="M86" s="60"/>
      <c r="N86" s="61"/>
      <c r="O86" s="61"/>
      <c r="P86" s="145">
        <v>42</v>
      </c>
      <c r="Q86" s="62">
        <v>40</v>
      </c>
      <c r="R86" s="60"/>
      <c r="S86" s="61"/>
      <c r="T86" s="61"/>
      <c r="U86" s="61"/>
      <c r="V86" s="61"/>
      <c r="W86" s="145">
        <v>0</v>
      </c>
      <c r="X86" s="62">
        <v>5</v>
      </c>
      <c r="Y86" s="60"/>
      <c r="Z86" s="61"/>
      <c r="AA86" s="61"/>
      <c r="AB86" s="145"/>
      <c r="AC86" s="61"/>
      <c r="AD86" s="91"/>
      <c r="AE86" s="61"/>
      <c r="AF86" s="63">
        <v>26.17</v>
      </c>
      <c r="AG86" s="331">
        <v>26.17</v>
      </c>
      <c r="AH86" s="270"/>
      <c r="AI86" s="65"/>
      <c r="AJ86" s="65"/>
      <c r="AK86" s="65"/>
      <c r="AL86" s="65"/>
      <c r="AM86" s="196">
        <v>53634</v>
      </c>
      <c r="AN86" s="66">
        <v>64731</v>
      </c>
      <c r="AO86" s="270"/>
      <c r="AP86" s="65"/>
      <c r="AQ86" s="65"/>
      <c r="AR86" s="65"/>
      <c r="AS86" s="65"/>
      <c r="AT86" s="196">
        <v>6074</v>
      </c>
      <c r="AU86" s="66">
        <v>5315</v>
      </c>
      <c r="AV86" s="276"/>
      <c r="AW86" s="67"/>
      <c r="AX86" s="67"/>
      <c r="AY86" s="67"/>
      <c r="AZ86" s="67"/>
      <c r="BA86" s="190">
        <f t="shared" ref="BA86" si="162">AT86/AM86</f>
        <v>0.11324905843308349</v>
      </c>
      <c r="BB86" s="68">
        <f t="shared" si="123"/>
        <v>8.2109035856081328E-2</v>
      </c>
      <c r="BC86" s="276" t="s">
        <v>226</v>
      </c>
      <c r="BD86" s="69"/>
      <c r="BE86" s="69"/>
      <c r="BF86" s="69"/>
      <c r="BG86" s="69"/>
      <c r="BH86" s="199"/>
      <c r="BI86" s="70"/>
      <c r="BJ86" s="60" t="s">
        <v>226</v>
      </c>
      <c r="BK86" s="71"/>
      <c r="BL86" s="71"/>
      <c r="BM86" s="71"/>
      <c r="BN86" s="71"/>
      <c r="BO86" s="200"/>
      <c r="BP86" s="72">
        <f t="shared" si="152"/>
        <v>-3.114002257700216</v>
      </c>
      <c r="BQ86" s="276"/>
      <c r="BR86" s="67"/>
      <c r="BS86" s="67"/>
      <c r="BT86" s="190">
        <f t="shared" si="161"/>
        <v>0</v>
      </c>
      <c r="BU86" s="68">
        <f t="shared" si="133"/>
        <v>0.125</v>
      </c>
      <c r="BV86" s="175">
        <f t="shared" si="134"/>
        <v>0</v>
      </c>
      <c r="BW86" s="73">
        <f t="shared" si="135"/>
        <v>-4.7619047619047616E-2</v>
      </c>
    </row>
    <row r="87" spans="1:75" x14ac:dyDescent="0.25">
      <c r="A87" s="13">
        <v>76</v>
      </c>
      <c r="B87" s="59" t="s">
        <v>271</v>
      </c>
      <c r="C87" s="60">
        <v>5</v>
      </c>
      <c r="D87" s="61">
        <v>5</v>
      </c>
      <c r="E87" s="61">
        <v>5</v>
      </c>
      <c r="F87" s="145"/>
      <c r="G87" s="62">
        <v>3</v>
      </c>
      <c r="H87" s="60">
        <v>160</v>
      </c>
      <c r="I87" s="61">
        <v>158</v>
      </c>
      <c r="J87" s="61">
        <v>159</v>
      </c>
      <c r="K87" s="145"/>
      <c r="L87" s="62">
        <v>147</v>
      </c>
      <c r="M87" s="60">
        <v>32</v>
      </c>
      <c r="N87" s="61">
        <v>31</v>
      </c>
      <c r="O87" s="61">
        <v>30</v>
      </c>
      <c r="P87" s="145"/>
      <c r="Q87" s="62">
        <v>54</v>
      </c>
      <c r="R87" s="60">
        <v>0</v>
      </c>
      <c r="S87" s="61">
        <v>0</v>
      </c>
      <c r="T87" s="61">
        <v>0</v>
      </c>
      <c r="U87" s="61">
        <v>0</v>
      </c>
      <c r="V87" s="61">
        <v>0</v>
      </c>
      <c r="W87" s="145"/>
      <c r="X87" s="62">
        <v>6</v>
      </c>
      <c r="Y87" s="60" t="s">
        <v>92</v>
      </c>
      <c r="Z87" s="61" t="s">
        <v>92</v>
      </c>
      <c r="AA87" s="61" t="s">
        <v>89</v>
      </c>
      <c r="AB87" s="145" t="s">
        <v>89</v>
      </c>
      <c r="AC87" s="61" t="s">
        <v>93</v>
      </c>
      <c r="AD87" s="91">
        <v>0.55000000000000004</v>
      </c>
      <c r="AE87" s="61">
        <v>0.57999999999999996</v>
      </c>
      <c r="AF87" s="152"/>
      <c r="AG87" s="64" t="s">
        <v>171</v>
      </c>
      <c r="AH87" s="270">
        <v>8254</v>
      </c>
      <c r="AI87" s="65">
        <v>12126</v>
      </c>
      <c r="AJ87" s="65">
        <v>11491</v>
      </c>
      <c r="AK87" s="65">
        <v>13442</v>
      </c>
      <c r="AL87" s="65">
        <v>12410</v>
      </c>
      <c r="AM87" s="196"/>
      <c r="AN87" s="66">
        <v>15779.47</v>
      </c>
      <c r="AO87" s="270">
        <v>1936</v>
      </c>
      <c r="AP87" s="65">
        <v>1913</v>
      </c>
      <c r="AQ87" s="65">
        <v>409</v>
      </c>
      <c r="AR87" s="65">
        <v>450</v>
      </c>
      <c r="AS87" s="65">
        <v>827</v>
      </c>
      <c r="AT87" s="196"/>
      <c r="AU87" s="66">
        <v>1634.38</v>
      </c>
      <c r="AV87" s="276">
        <f t="shared" ref="AV87:AZ87" si="163">AO87/AH87</f>
        <v>0.23455294402713836</v>
      </c>
      <c r="AW87" s="67">
        <f t="shared" si="163"/>
        <v>0.15776018472703282</v>
      </c>
      <c r="AX87" s="67">
        <f t="shared" si="163"/>
        <v>3.5593072839613611E-2</v>
      </c>
      <c r="AY87" s="67">
        <f t="shared" si="163"/>
        <v>3.3477161136735607E-2</v>
      </c>
      <c r="AZ87" s="67">
        <f t="shared" si="163"/>
        <v>6.6639806607574542E-2</v>
      </c>
      <c r="BA87" s="190"/>
      <c r="BB87" s="68">
        <f t="shared" si="123"/>
        <v>0.10357635585986096</v>
      </c>
      <c r="BC87" s="276" t="s">
        <v>226</v>
      </c>
      <c r="BD87" s="69">
        <f>(AW87-$AV87)*100</f>
        <v>-7.6792759300105544</v>
      </c>
      <c r="BE87" s="69">
        <f>(AX87-$AV87)*100</f>
        <v>-19.895987118752476</v>
      </c>
      <c r="BF87" s="69">
        <f t="shared" ref="BF87:BG87" si="164">(AY87-$AV87)*100</f>
        <v>-20.107578289040276</v>
      </c>
      <c r="BG87" s="69">
        <f t="shared" si="164"/>
        <v>-16.791313741956383</v>
      </c>
      <c r="BH87" s="199"/>
      <c r="BI87" s="70">
        <f t="shared" si="136"/>
        <v>-13.097658816727742</v>
      </c>
      <c r="BJ87" s="60" t="s">
        <v>226</v>
      </c>
      <c r="BK87" s="71">
        <f t="shared" ref="BK87:BN87" si="165">(AW87-AV87)*100</f>
        <v>-7.6792759300105544</v>
      </c>
      <c r="BL87" s="71">
        <f t="shared" si="165"/>
        <v>-12.216711188741922</v>
      </c>
      <c r="BM87" s="71">
        <f t="shared" si="165"/>
        <v>-0.21159117028780039</v>
      </c>
      <c r="BN87" s="71">
        <f t="shared" si="165"/>
        <v>3.3162645470838936</v>
      </c>
      <c r="BO87" s="200"/>
      <c r="BP87" s="72"/>
      <c r="BQ87" s="276">
        <f t="shared" ref="BQ87:BS87" si="166">T87/M87</f>
        <v>0</v>
      </c>
      <c r="BR87" s="67">
        <f t="shared" si="166"/>
        <v>0</v>
      </c>
      <c r="BS87" s="67">
        <f t="shared" si="166"/>
        <v>0</v>
      </c>
      <c r="BT87" s="190"/>
      <c r="BU87" s="68">
        <f t="shared" si="133"/>
        <v>0.1111111111111111</v>
      </c>
      <c r="BV87" s="175"/>
      <c r="BW87" s="73"/>
    </row>
    <row r="88" spans="1:75" x14ac:dyDescent="0.25">
      <c r="A88" s="13">
        <v>76</v>
      </c>
      <c r="B88" s="59" t="s">
        <v>272</v>
      </c>
      <c r="C88" s="60">
        <v>4</v>
      </c>
      <c r="D88" s="61">
        <v>4</v>
      </c>
      <c r="E88" s="145">
        <v>0</v>
      </c>
      <c r="F88" s="145"/>
      <c r="G88" s="62"/>
      <c r="H88" s="60">
        <v>122</v>
      </c>
      <c r="I88" s="61">
        <v>122</v>
      </c>
      <c r="J88" s="145">
        <v>0</v>
      </c>
      <c r="K88" s="145"/>
      <c r="L88" s="62"/>
      <c r="M88" s="60">
        <v>24</v>
      </c>
      <c r="N88" s="61">
        <v>33</v>
      </c>
      <c r="O88" s="145">
        <v>12</v>
      </c>
      <c r="P88" s="145"/>
      <c r="Q88" s="62"/>
      <c r="R88" s="60">
        <v>1</v>
      </c>
      <c r="S88" s="61">
        <v>1</v>
      </c>
      <c r="T88" s="61">
        <v>3</v>
      </c>
      <c r="U88" s="61">
        <v>3</v>
      </c>
      <c r="V88" s="145">
        <v>3</v>
      </c>
      <c r="W88" s="145"/>
      <c r="X88" s="62"/>
      <c r="Y88" s="60" t="s">
        <v>91</v>
      </c>
      <c r="Z88" s="61" t="s">
        <v>94</v>
      </c>
      <c r="AA88" s="61" t="s">
        <v>95</v>
      </c>
      <c r="AB88" s="61" t="s">
        <v>95</v>
      </c>
      <c r="AC88" s="61" t="s">
        <v>95</v>
      </c>
      <c r="AD88" s="61">
        <v>0.75</v>
      </c>
      <c r="AE88" s="61">
        <v>0.75</v>
      </c>
      <c r="AF88" s="61"/>
      <c r="AG88" s="62"/>
      <c r="AH88" s="270">
        <v>16453</v>
      </c>
      <c r="AI88" s="65">
        <v>17990</v>
      </c>
      <c r="AJ88" s="65">
        <v>27444</v>
      </c>
      <c r="AK88" s="65">
        <v>27389</v>
      </c>
      <c r="AL88" s="196"/>
      <c r="AM88" s="196"/>
      <c r="AN88" s="66"/>
      <c r="AO88" s="270">
        <v>941</v>
      </c>
      <c r="AP88" s="65">
        <v>2060</v>
      </c>
      <c r="AQ88" s="65">
        <v>1916</v>
      </c>
      <c r="AR88" s="65">
        <v>4117</v>
      </c>
      <c r="AS88" s="196"/>
      <c r="AT88" s="196"/>
      <c r="AU88" s="66"/>
      <c r="AV88" s="276">
        <f>AO88/AH88</f>
        <v>5.7193217042484652E-2</v>
      </c>
      <c r="AW88" s="67">
        <f>AP88/AI88</f>
        <v>0.11450806003335186</v>
      </c>
      <c r="AX88" s="67">
        <f>AQ88/AJ88</f>
        <v>6.9814895787786033E-2</v>
      </c>
      <c r="AY88" s="67">
        <f>AR88/AK88</f>
        <v>0.15031582021979628</v>
      </c>
      <c r="AZ88" s="190"/>
      <c r="BA88" s="190"/>
      <c r="BB88" s="190"/>
      <c r="BC88" s="276" t="s">
        <v>226</v>
      </c>
      <c r="BD88" s="69">
        <f t="shared" ref="BD88:BG88" si="167">(AW88-$AV88)*100</f>
        <v>5.7314842990867207</v>
      </c>
      <c r="BE88" s="69">
        <f t="shared" si="167"/>
        <v>1.2621678745301381</v>
      </c>
      <c r="BF88" s="69">
        <f t="shared" si="167"/>
        <v>9.3122603177311642</v>
      </c>
      <c r="BG88" s="199">
        <f t="shared" si="167"/>
        <v>-5.7193217042484656</v>
      </c>
      <c r="BH88" s="199"/>
      <c r="BI88" s="70"/>
      <c r="BJ88" s="60" t="s">
        <v>226</v>
      </c>
      <c r="BK88" s="71">
        <f t="shared" ref="BK88:BN88" si="168">(AW88-AV88)*100</f>
        <v>5.7314842990867207</v>
      </c>
      <c r="BL88" s="71">
        <f t="shared" si="168"/>
        <v>-4.4693164245565828</v>
      </c>
      <c r="BM88" s="71">
        <f t="shared" si="168"/>
        <v>8.0500924432010255</v>
      </c>
      <c r="BN88" s="200">
        <f t="shared" si="168"/>
        <v>-15.031582021979627</v>
      </c>
      <c r="BO88" s="200"/>
      <c r="BP88" s="200"/>
      <c r="BQ88" s="276">
        <f t="shared" ref="BQ88:BS88" si="169">T88/M88</f>
        <v>0.125</v>
      </c>
      <c r="BR88" s="67">
        <f t="shared" si="169"/>
        <v>9.0909090909090912E-2</v>
      </c>
      <c r="BS88" s="67">
        <f t="shared" si="169"/>
        <v>0.25</v>
      </c>
      <c r="BT88" s="67"/>
      <c r="BU88" s="68"/>
      <c r="BV88" s="175"/>
      <c r="BW88" s="73"/>
    </row>
    <row r="89" spans="1:75" x14ac:dyDescent="0.25">
      <c r="A89" s="13">
        <v>76</v>
      </c>
      <c r="B89" s="59" t="s">
        <v>275</v>
      </c>
      <c r="C89" s="60"/>
      <c r="D89" s="61"/>
      <c r="E89" s="61"/>
      <c r="F89" s="145">
        <v>21</v>
      </c>
      <c r="G89" s="62">
        <v>21</v>
      </c>
      <c r="H89" s="60"/>
      <c r="I89" s="61"/>
      <c r="J89" s="61"/>
      <c r="K89" s="145">
        <v>311</v>
      </c>
      <c r="L89" s="62">
        <v>311</v>
      </c>
      <c r="M89" s="60"/>
      <c r="N89" s="61"/>
      <c r="O89" s="61"/>
      <c r="P89" s="145">
        <v>35</v>
      </c>
      <c r="Q89" s="62">
        <v>28</v>
      </c>
      <c r="R89" s="60"/>
      <c r="S89" s="61"/>
      <c r="T89" s="61"/>
      <c r="U89" s="61"/>
      <c r="V89" s="61"/>
      <c r="W89" s="145">
        <v>6</v>
      </c>
      <c r="X89" s="62">
        <v>5</v>
      </c>
      <c r="Y89" s="60"/>
      <c r="Z89" s="61"/>
      <c r="AA89" s="61"/>
      <c r="AB89" s="145"/>
      <c r="AC89" s="61"/>
      <c r="AD89" s="91"/>
      <c r="AE89" s="61"/>
      <c r="AF89" s="152">
        <v>22.2</v>
      </c>
      <c r="AG89" s="64">
        <v>22.23</v>
      </c>
      <c r="AH89" s="270"/>
      <c r="AI89" s="65"/>
      <c r="AJ89" s="65"/>
      <c r="AK89" s="65"/>
      <c r="AL89" s="65"/>
      <c r="AM89" s="196">
        <v>75144</v>
      </c>
      <c r="AN89" s="66">
        <v>72870</v>
      </c>
      <c r="AO89" s="270"/>
      <c r="AP89" s="65"/>
      <c r="AQ89" s="65"/>
      <c r="AR89" s="65"/>
      <c r="AS89" s="65"/>
      <c r="AT89" s="196">
        <v>3894</v>
      </c>
      <c r="AU89" s="66">
        <v>4507</v>
      </c>
      <c r="AV89" s="276"/>
      <c r="AW89" s="67"/>
      <c r="AX89" s="67"/>
      <c r="AY89" s="67"/>
      <c r="AZ89" s="67"/>
      <c r="BA89" s="190">
        <f t="shared" ref="BA89" si="170">AT89/AM89</f>
        <v>5.1820504631108273E-2</v>
      </c>
      <c r="BB89" s="68">
        <f t="shared" si="123"/>
        <v>6.1849869630849458E-2</v>
      </c>
      <c r="BC89" s="276" t="s">
        <v>226</v>
      </c>
      <c r="BD89" s="69"/>
      <c r="BE89" s="69"/>
      <c r="BF89" s="69"/>
      <c r="BG89" s="69"/>
      <c r="BH89" s="199"/>
      <c r="BI89" s="70"/>
      <c r="BJ89" s="60" t="s">
        <v>226</v>
      </c>
      <c r="BK89" s="71"/>
      <c r="BL89" s="71"/>
      <c r="BM89" s="71"/>
      <c r="BN89" s="71"/>
      <c r="BO89" s="200"/>
      <c r="BP89" s="72">
        <f t="shared" si="152"/>
        <v>1.0029364999741184</v>
      </c>
      <c r="BQ89" s="276"/>
      <c r="BR89" s="67"/>
      <c r="BS89" s="67"/>
      <c r="BT89" s="190">
        <f t="shared" ref="BT89" si="171">W89/P89</f>
        <v>0.17142857142857143</v>
      </c>
      <c r="BU89" s="68">
        <f t="shared" si="133"/>
        <v>0.17857142857142858</v>
      </c>
      <c r="BV89" s="175">
        <f t="shared" si="134"/>
        <v>1.3513513513514026E-3</v>
      </c>
      <c r="BW89" s="73">
        <f t="shared" si="135"/>
        <v>-0.2</v>
      </c>
    </row>
    <row r="90" spans="1:75" x14ac:dyDescent="0.25">
      <c r="A90" s="13">
        <v>78</v>
      </c>
      <c r="B90" s="59" t="s">
        <v>44</v>
      </c>
      <c r="C90" s="60"/>
      <c r="D90" s="61"/>
      <c r="E90" s="61"/>
      <c r="F90" s="145">
        <v>0</v>
      </c>
      <c r="G90" s="62"/>
      <c r="H90" s="60"/>
      <c r="I90" s="61"/>
      <c r="J90" s="61"/>
      <c r="K90" s="145">
        <v>440</v>
      </c>
      <c r="L90" s="62"/>
      <c r="M90" s="60"/>
      <c r="N90" s="61"/>
      <c r="O90" s="61"/>
      <c r="P90" s="145">
        <v>122</v>
      </c>
      <c r="Q90" s="62"/>
      <c r="R90" s="60"/>
      <c r="S90" s="61"/>
      <c r="T90" s="61"/>
      <c r="U90" s="61"/>
      <c r="V90" s="61"/>
      <c r="W90" s="145">
        <v>62</v>
      </c>
      <c r="X90" s="62"/>
      <c r="Y90" s="60"/>
      <c r="Z90" s="61"/>
      <c r="AA90" s="61"/>
      <c r="AB90" s="145"/>
      <c r="AC90" s="61"/>
      <c r="AD90" s="61"/>
      <c r="AE90" s="61"/>
      <c r="AF90" s="63">
        <v>31.75</v>
      </c>
      <c r="AG90" s="64"/>
      <c r="AH90" s="270"/>
      <c r="AI90" s="65"/>
      <c r="AJ90" s="65"/>
      <c r="AK90" s="65"/>
      <c r="AL90" s="65"/>
      <c r="AM90" s="196">
        <v>127836.48</v>
      </c>
      <c r="AN90" s="66"/>
      <c r="AO90" s="270"/>
      <c r="AP90" s="65"/>
      <c r="AQ90" s="65"/>
      <c r="AR90" s="65"/>
      <c r="AS90" s="65"/>
      <c r="AT90" s="196">
        <v>20558.03</v>
      </c>
      <c r="AU90" s="66"/>
      <c r="AV90" s="276"/>
      <c r="AW90" s="67"/>
      <c r="AX90" s="67"/>
      <c r="AY90" s="67"/>
      <c r="AZ90" s="67"/>
      <c r="BA90" s="190">
        <v>0.16</v>
      </c>
      <c r="BB90" s="190"/>
      <c r="BC90" s="276" t="s">
        <v>226</v>
      </c>
      <c r="BD90" s="69"/>
      <c r="BE90" s="69"/>
      <c r="BF90" s="69"/>
      <c r="BG90" s="69"/>
      <c r="BH90" s="199"/>
      <c r="BI90" s="70"/>
      <c r="BJ90" s="60" t="s">
        <v>226</v>
      </c>
      <c r="BK90" s="71"/>
      <c r="BL90" s="71"/>
      <c r="BM90" s="71"/>
      <c r="BN90" s="71"/>
      <c r="BO90" s="200"/>
      <c r="BP90" s="200"/>
      <c r="BQ90" s="276"/>
      <c r="BR90" s="67"/>
      <c r="BS90" s="67"/>
      <c r="BT90" s="67">
        <f t="shared" ref="BT90" si="172">W90/P90</f>
        <v>0.50819672131147542</v>
      </c>
      <c r="BU90" s="68"/>
      <c r="BV90" s="175"/>
      <c r="BW90" s="73"/>
    </row>
    <row r="91" spans="1:75" x14ac:dyDescent="0.25">
      <c r="A91" s="13">
        <v>79</v>
      </c>
      <c r="B91" s="59" t="s">
        <v>86</v>
      </c>
      <c r="C91" s="60">
        <v>0</v>
      </c>
      <c r="D91" s="61">
        <v>0</v>
      </c>
      <c r="E91" s="61">
        <v>0</v>
      </c>
      <c r="F91" s="145">
        <v>0</v>
      </c>
      <c r="G91" s="62">
        <v>1</v>
      </c>
      <c r="H91" s="60">
        <v>227</v>
      </c>
      <c r="I91" s="61">
        <v>227</v>
      </c>
      <c r="J91" s="61">
        <v>227</v>
      </c>
      <c r="K91" s="145">
        <v>227</v>
      </c>
      <c r="L91" s="62">
        <v>205</v>
      </c>
      <c r="M91" s="60">
        <v>37</v>
      </c>
      <c r="N91" s="61">
        <v>49</v>
      </c>
      <c r="O91" s="61">
        <v>68</v>
      </c>
      <c r="P91" s="145">
        <v>73</v>
      </c>
      <c r="Q91" s="62">
        <v>53</v>
      </c>
      <c r="R91" s="60">
        <v>8</v>
      </c>
      <c r="S91" s="61">
        <v>7</v>
      </c>
      <c r="T91" s="61">
        <v>8</v>
      </c>
      <c r="U91" s="61">
        <v>9</v>
      </c>
      <c r="V91" s="61">
        <v>7</v>
      </c>
      <c r="W91" s="145">
        <v>1</v>
      </c>
      <c r="X91" s="62">
        <v>5</v>
      </c>
      <c r="Y91" s="60">
        <v>20.57</v>
      </c>
      <c r="Z91" s="61">
        <v>26.78</v>
      </c>
      <c r="AA91" s="61">
        <v>31.48</v>
      </c>
      <c r="AB91" s="145"/>
      <c r="AC91" s="61"/>
      <c r="AD91" s="91"/>
      <c r="AE91" s="61"/>
      <c r="AF91" s="152">
        <v>56.76</v>
      </c>
      <c r="AG91" s="152">
        <v>56.76</v>
      </c>
      <c r="AH91" s="270">
        <v>59921</v>
      </c>
      <c r="AI91" s="65">
        <v>72552</v>
      </c>
      <c r="AJ91" s="65">
        <v>81297</v>
      </c>
      <c r="AK91" s="65">
        <v>123593</v>
      </c>
      <c r="AL91" s="65">
        <v>95539</v>
      </c>
      <c r="AM91" s="196">
        <v>94591</v>
      </c>
      <c r="AN91" s="66">
        <v>96213</v>
      </c>
      <c r="AO91" s="270">
        <v>5734</v>
      </c>
      <c r="AP91" s="65">
        <v>7966</v>
      </c>
      <c r="AQ91" s="65">
        <v>12741</v>
      </c>
      <c r="AR91" s="65">
        <v>20140</v>
      </c>
      <c r="AS91" s="65">
        <v>14331</v>
      </c>
      <c r="AT91" s="196">
        <v>15858</v>
      </c>
      <c r="AU91" s="66">
        <v>13250</v>
      </c>
      <c r="AV91" s="276">
        <f t="shared" ref="AV91:BA91" si="173">AO91/AH91</f>
        <v>9.5692662004973214E-2</v>
      </c>
      <c r="AW91" s="67">
        <f t="shared" si="173"/>
        <v>0.10979711103760062</v>
      </c>
      <c r="AX91" s="67">
        <f t="shared" si="173"/>
        <v>0.1567216502453965</v>
      </c>
      <c r="AY91" s="67">
        <f t="shared" si="173"/>
        <v>0.16295421261721943</v>
      </c>
      <c r="AZ91" s="67">
        <f t="shared" si="173"/>
        <v>0.15000157003946032</v>
      </c>
      <c r="BA91" s="190">
        <f t="shared" si="173"/>
        <v>0.16764808491294098</v>
      </c>
      <c r="BB91" s="68">
        <f t="shared" si="123"/>
        <v>0.13771527756124433</v>
      </c>
      <c r="BC91" s="276" t="s">
        <v>226</v>
      </c>
      <c r="BD91" s="69">
        <f>(AW91-$AV91)*100</f>
        <v>1.4104449032627406</v>
      </c>
      <c r="BE91" s="69">
        <f>(AX91-$AV91)*100</f>
        <v>6.1028988240423283</v>
      </c>
      <c r="BF91" s="69">
        <f t="shared" ref="BF91:BH91" si="174">(AY91-$AV91)*100</f>
        <v>6.7261550612246213</v>
      </c>
      <c r="BG91" s="69">
        <f t="shared" si="174"/>
        <v>5.4308908034487109</v>
      </c>
      <c r="BH91" s="199">
        <f t="shared" si="174"/>
        <v>7.1955422907967765</v>
      </c>
      <c r="BI91" s="70">
        <f t="shared" si="136"/>
        <v>4.2022615556271115</v>
      </c>
      <c r="BJ91" s="60" t="s">
        <v>226</v>
      </c>
      <c r="BK91" s="71">
        <f t="shared" ref="BK91:BO91" si="175">(AW91-AV91)*100</f>
        <v>1.4104449032627406</v>
      </c>
      <c r="BL91" s="71">
        <f t="shared" si="175"/>
        <v>4.6924539207795881</v>
      </c>
      <c r="BM91" s="71">
        <f t="shared" si="175"/>
        <v>0.62325623718229306</v>
      </c>
      <c r="BN91" s="71">
        <f t="shared" si="175"/>
        <v>-1.2952642577759104</v>
      </c>
      <c r="BO91" s="200">
        <f t="shared" si="175"/>
        <v>1.7646514873480652</v>
      </c>
      <c r="BP91" s="72">
        <f t="shared" si="152"/>
        <v>-2.9932807351696651</v>
      </c>
      <c r="BQ91" s="276">
        <f t="shared" ref="BQ91:BT91" si="176">T91/M91</f>
        <v>0.21621621621621623</v>
      </c>
      <c r="BR91" s="67">
        <f t="shared" si="176"/>
        <v>0.18367346938775511</v>
      </c>
      <c r="BS91" s="67">
        <f t="shared" si="176"/>
        <v>0.10294117647058823</v>
      </c>
      <c r="BT91" s="190">
        <f t="shared" si="176"/>
        <v>1.3698630136986301E-2</v>
      </c>
      <c r="BU91" s="68">
        <f t="shared" si="133"/>
        <v>9.4339622641509441E-2</v>
      </c>
      <c r="BV91" s="175">
        <f t="shared" si="134"/>
        <v>0</v>
      </c>
      <c r="BW91" s="73">
        <f t="shared" si="135"/>
        <v>-0.27397260273972601</v>
      </c>
    </row>
    <row r="92" spans="1:75" x14ac:dyDescent="0.25">
      <c r="A92" s="13">
        <v>80</v>
      </c>
      <c r="B92" s="59" t="s">
        <v>46</v>
      </c>
      <c r="C92" s="60"/>
      <c r="D92" s="61"/>
      <c r="E92" s="145"/>
      <c r="F92" s="145"/>
      <c r="G92" s="62"/>
      <c r="H92" s="60"/>
      <c r="I92" s="61"/>
      <c r="J92" s="145"/>
      <c r="K92" s="145"/>
      <c r="L92" s="62"/>
      <c r="M92" s="60"/>
      <c r="N92" s="61"/>
      <c r="O92" s="145"/>
      <c r="P92" s="145"/>
      <c r="Q92" s="62"/>
      <c r="R92" s="60"/>
      <c r="S92" s="61"/>
      <c r="T92" s="61"/>
      <c r="U92" s="61"/>
      <c r="V92" s="145"/>
      <c r="W92" s="145"/>
      <c r="X92" s="62"/>
      <c r="Y92" s="60"/>
      <c r="Z92" s="61"/>
      <c r="AA92" s="61"/>
      <c r="AB92" s="61"/>
      <c r="AC92" s="61"/>
      <c r="AD92" s="61"/>
      <c r="AE92" s="61"/>
      <c r="AF92" s="61"/>
      <c r="AG92" s="62"/>
      <c r="AH92" s="270"/>
      <c r="AI92" s="65"/>
      <c r="AJ92" s="65"/>
      <c r="AK92" s="65"/>
      <c r="AL92" s="196">
        <v>81697</v>
      </c>
      <c r="AM92" s="196"/>
      <c r="AN92" s="66"/>
      <c r="AO92" s="270"/>
      <c r="AP92" s="65"/>
      <c r="AQ92" s="65"/>
      <c r="AR92" s="65"/>
      <c r="AS92" s="196">
        <v>1719</v>
      </c>
      <c r="AT92" s="196"/>
      <c r="AU92" s="66"/>
      <c r="AV92" s="276"/>
      <c r="AW92" s="67"/>
      <c r="AX92" s="67"/>
      <c r="AY92" s="67"/>
      <c r="AZ92" s="190">
        <f t="shared" ref="AZ92:BA101" si="177">AS92/AL92</f>
        <v>2.1041164302238759E-2</v>
      </c>
      <c r="BA92" s="190"/>
      <c r="BB92" s="190"/>
      <c r="BC92" s="276" t="s">
        <v>226</v>
      </c>
      <c r="BD92" s="69"/>
      <c r="BE92" s="69"/>
      <c r="BF92" s="69"/>
      <c r="BG92" s="199"/>
      <c r="BH92" s="199"/>
      <c r="BI92" s="70"/>
      <c r="BJ92" s="60" t="s">
        <v>226</v>
      </c>
      <c r="BK92" s="71"/>
      <c r="BL92" s="71"/>
      <c r="BM92" s="71"/>
      <c r="BN92" s="200"/>
      <c r="BO92" s="200"/>
      <c r="BP92" s="200"/>
      <c r="BQ92" s="276"/>
      <c r="BR92" s="67"/>
      <c r="BS92" s="67"/>
      <c r="BT92" s="67"/>
      <c r="BU92" s="68"/>
      <c r="BV92" s="175"/>
      <c r="BW92" s="73"/>
    </row>
    <row r="93" spans="1:75" x14ac:dyDescent="0.25">
      <c r="A93" s="13">
        <v>82</v>
      </c>
      <c r="B93" s="59" t="s">
        <v>296</v>
      </c>
      <c r="C93" s="60">
        <v>2</v>
      </c>
      <c r="D93" s="61">
        <v>24</v>
      </c>
      <c r="E93" s="61">
        <v>24</v>
      </c>
      <c r="F93" s="145">
        <v>25</v>
      </c>
      <c r="G93" s="62">
        <v>24</v>
      </c>
      <c r="H93" s="60">
        <v>393</v>
      </c>
      <c r="I93" s="61">
        <v>0</v>
      </c>
      <c r="J93" s="61">
        <v>0</v>
      </c>
      <c r="K93" s="145">
        <v>0</v>
      </c>
      <c r="L93" s="62">
        <v>0</v>
      </c>
      <c r="M93" s="60">
        <v>0</v>
      </c>
      <c r="N93" s="61">
        <v>0</v>
      </c>
      <c r="O93" s="61">
        <v>0</v>
      </c>
      <c r="P93" s="145">
        <v>40</v>
      </c>
      <c r="Q93" s="62">
        <v>48</v>
      </c>
      <c r="R93" s="60">
        <v>0</v>
      </c>
      <c r="S93" s="61">
        <v>0</v>
      </c>
      <c r="T93" s="61">
        <v>0</v>
      </c>
      <c r="U93" s="61">
        <v>0</v>
      </c>
      <c r="V93" s="61">
        <v>0</v>
      </c>
      <c r="W93" s="145">
        <v>0</v>
      </c>
      <c r="X93" s="62">
        <v>15</v>
      </c>
      <c r="Y93" s="60">
        <v>0</v>
      </c>
      <c r="Z93" s="61">
        <v>0</v>
      </c>
      <c r="AA93" s="61">
        <v>0</v>
      </c>
      <c r="AB93" s="145">
        <v>0</v>
      </c>
      <c r="AC93" s="61">
        <v>0</v>
      </c>
      <c r="AD93" s="91"/>
      <c r="AE93" s="61"/>
      <c r="AF93" s="152">
        <v>32.21</v>
      </c>
      <c r="AG93" s="64">
        <v>32.21</v>
      </c>
      <c r="AH93" s="270">
        <v>90546</v>
      </c>
      <c r="AI93" s="65">
        <v>97358</v>
      </c>
      <c r="AJ93" s="65">
        <v>99700</v>
      </c>
      <c r="AK93" s="65">
        <v>129457</v>
      </c>
      <c r="AL93" s="65">
        <v>154232</v>
      </c>
      <c r="AM93" s="196">
        <v>153479</v>
      </c>
      <c r="AN93" s="66">
        <v>139493</v>
      </c>
      <c r="AO93" s="270">
        <v>-2407</v>
      </c>
      <c r="AP93" s="65">
        <v>121</v>
      </c>
      <c r="AQ93" s="65">
        <v>3026</v>
      </c>
      <c r="AR93" s="65">
        <v>-167</v>
      </c>
      <c r="AS93" s="65">
        <v>7751</v>
      </c>
      <c r="AT93" s="196">
        <v>19232</v>
      </c>
      <c r="AU93" s="66">
        <v>19104</v>
      </c>
      <c r="AV93" s="276">
        <f>AO93/AH93</f>
        <v>-2.6583173193735779E-2</v>
      </c>
      <c r="AW93" s="67">
        <f>AP93/AI93</f>
        <v>1.2428357197148668E-3</v>
      </c>
      <c r="AX93" s="67">
        <f>AQ93/AJ93</f>
        <v>3.0351053159478437E-2</v>
      </c>
      <c r="AY93" s="67">
        <f>AR93/AK93</f>
        <v>-1.2900036305491399E-3</v>
      </c>
      <c r="AZ93" s="67">
        <f>AS93/AL93</f>
        <v>5.0255459308055396E-2</v>
      </c>
      <c r="BA93" s="190">
        <f t="shared" ref="BA93" si="178">AT93/AM93</f>
        <v>0.1253070452635214</v>
      </c>
      <c r="BB93" s="68">
        <f t="shared" si="123"/>
        <v>0.13695310875814556</v>
      </c>
      <c r="BC93" s="276" t="s">
        <v>226</v>
      </c>
      <c r="BD93" s="69">
        <f t="shared" ref="BD93:BH93" si="179">(AW93-$AV93)*100</f>
        <v>2.7826008913450644</v>
      </c>
      <c r="BE93" s="69">
        <f t="shared" si="179"/>
        <v>5.6934226353214212</v>
      </c>
      <c r="BF93" s="69">
        <f t="shared" si="179"/>
        <v>2.5293169563186639</v>
      </c>
      <c r="BG93" s="69">
        <f t="shared" si="179"/>
        <v>7.683863250179118</v>
      </c>
      <c r="BH93" s="199">
        <f t="shared" si="179"/>
        <v>15.189021845725719</v>
      </c>
      <c r="BI93" s="70">
        <f t="shared" si="136"/>
        <v>16.353628195188136</v>
      </c>
      <c r="BJ93" s="60" t="s">
        <v>226</v>
      </c>
      <c r="BK93" s="71">
        <f t="shared" ref="BK93:BO93" si="180">(AW93-AV93)*100</f>
        <v>2.7826008913450644</v>
      </c>
      <c r="BL93" s="71">
        <f t="shared" si="180"/>
        <v>2.9108217439763573</v>
      </c>
      <c r="BM93" s="71">
        <f t="shared" si="180"/>
        <v>-3.1641056790027577</v>
      </c>
      <c r="BN93" s="71">
        <f t="shared" si="180"/>
        <v>5.1545462938604532</v>
      </c>
      <c r="BO93" s="200">
        <f t="shared" si="180"/>
        <v>7.505158595546602</v>
      </c>
      <c r="BP93" s="72">
        <f t="shared" si="152"/>
        <v>1.1646063494624159</v>
      </c>
      <c r="BQ93" s="276"/>
      <c r="BR93" s="67"/>
      <c r="BS93" s="67"/>
      <c r="BT93" s="190">
        <f t="shared" ref="BT93" si="181">W93/P93</f>
        <v>0</v>
      </c>
      <c r="BU93" s="68">
        <f t="shared" si="133"/>
        <v>0.3125</v>
      </c>
      <c r="BV93" s="175">
        <f t="shared" si="134"/>
        <v>0</v>
      </c>
      <c r="BW93" s="73">
        <f t="shared" si="135"/>
        <v>0.2</v>
      </c>
    </row>
    <row r="94" spans="1:75" x14ac:dyDescent="0.25">
      <c r="A94" s="335" t="s">
        <v>432</v>
      </c>
      <c r="B94" s="59" t="s">
        <v>48</v>
      </c>
      <c r="C94" s="60">
        <v>0</v>
      </c>
      <c r="D94" s="61">
        <v>0</v>
      </c>
      <c r="E94" s="61">
        <v>0</v>
      </c>
      <c r="F94" s="145">
        <v>0</v>
      </c>
      <c r="G94" s="62">
        <v>0</v>
      </c>
      <c r="H94" s="60">
        <v>423</v>
      </c>
      <c r="I94" s="61">
        <v>404</v>
      </c>
      <c r="J94" s="61">
        <v>411</v>
      </c>
      <c r="K94" s="145">
        <v>282</v>
      </c>
      <c r="L94" s="62">
        <v>293</v>
      </c>
      <c r="M94" s="60">
        <v>75</v>
      </c>
      <c r="N94" s="61">
        <v>77</v>
      </c>
      <c r="O94" s="61">
        <v>89</v>
      </c>
      <c r="P94" s="145">
        <v>103</v>
      </c>
      <c r="Q94" s="62">
        <v>97</v>
      </c>
      <c r="R94" s="60">
        <v>4</v>
      </c>
      <c r="S94" s="61">
        <v>2</v>
      </c>
      <c r="T94" s="61">
        <v>2</v>
      </c>
      <c r="U94" s="61">
        <v>0</v>
      </c>
      <c r="V94" s="61">
        <v>7</v>
      </c>
      <c r="W94" s="145">
        <v>6</v>
      </c>
      <c r="X94" s="62">
        <v>9</v>
      </c>
      <c r="Y94" s="60">
        <v>18.87</v>
      </c>
      <c r="Z94" s="61">
        <v>25.17</v>
      </c>
      <c r="AA94" s="61">
        <v>37.54</v>
      </c>
      <c r="AB94" s="145">
        <v>31.31</v>
      </c>
      <c r="AC94" s="61">
        <v>34.590000000000003</v>
      </c>
      <c r="AD94" s="91"/>
      <c r="AE94" s="61"/>
      <c r="AF94" s="152">
        <v>33.93</v>
      </c>
      <c r="AG94" s="64">
        <v>35.840000000000003</v>
      </c>
      <c r="AH94" s="270">
        <v>38879</v>
      </c>
      <c r="AI94" s="65">
        <v>40061</v>
      </c>
      <c r="AJ94" s="65">
        <v>61289</v>
      </c>
      <c r="AK94" s="65">
        <v>76318</v>
      </c>
      <c r="AL94" s="65">
        <v>59088</v>
      </c>
      <c r="AM94" s="196">
        <v>79693.72</v>
      </c>
      <c r="AN94" s="66">
        <v>92467</v>
      </c>
      <c r="AO94" s="270">
        <v>16958</v>
      </c>
      <c r="AP94" s="65">
        <v>11985</v>
      </c>
      <c r="AQ94" s="65">
        <v>18190</v>
      </c>
      <c r="AR94" s="65">
        <v>33488</v>
      </c>
      <c r="AS94" s="65">
        <v>38803</v>
      </c>
      <c r="AT94" s="196">
        <v>29515.19</v>
      </c>
      <c r="AU94" s="66">
        <v>10164</v>
      </c>
      <c r="AV94" s="276">
        <f t="shared" ref="AV94:AY95" si="182">AO94/AH94</f>
        <v>0.43617376990148926</v>
      </c>
      <c r="AW94" s="67">
        <f t="shared" si="182"/>
        <v>0.29916876762936523</v>
      </c>
      <c r="AX94" s="67">
        <f t="shared" si="182"/>
        <v>0.29679061495537534</v>
      </c>
      <c r="AY94" s="67">
        <f t="shared" si="182"/>
        <v>0.43879556592153884</v>
      </c>
      <c r="AZ94" s="67">
        <f t="shared" si="177"/>
        <v>0.65669848361765504</v>
      </c>
      <c r="BA94" s="190">
        <f t="shared" si="177"/>
        <v>0.37035778979824258</v>
      </c>
      <c r="BB94" s="68">
        <f t="shared" si="123"/>
        <v>0.10992029588934431</v>
      </c>
      <c r="BC94" s="276" t="s">
        <v>226</v>
      </c>
      <c r="BD94" s="69">
        <f t="shared" ref="BD94:BH94" si="183">(AW94-$AV94)*100</f>
        <v>-13.700500227212403</v>
      </c>
      <c r="BE94" s="69">
        <f t="shared" si="183"/>
        <v>-13.938315494611391</v>
      </c>
      <c r="BF94" s="69">
        <f t="shared" si="183"/>
        <v>0.26217960200495827</v>
      </c>
      <c r="BG94" s="69">
        <f t="shared" si="183"/>
        <v>22.052471371616576</v>
      </c>
      <c r="BH94" s="199">
        <f t="shared" si="183"/>
        <v>-6.5815980103246687</v>
      </c>
      <c r="BI94" s="70">
        <f t="shared" si="136"/>
        <v>-32.625347401214491</v>
      </c>
      <c r="BJ94" s="60" t="s">
        <v>226</v>
      </c>
      <c r="BK94" s="71">
        <f t="shared" ref="BK94:BO94" si="184">(AW94-AV94)*100</f>
        <v>-13.700500227212403</v>
      </c>
      <c r="BL94" s="71">
        <f t="shared" si="184"/>
        <v>-0.23781526739898862</v>
      </c>
      <c r="BM94" s="71">
        <f t="shared" si="184"/>
        <v>14.200495096616351</v>
      </c>
      <c r="BN94" s="71">
        <f t="shared" si="184"/>
        <v>21.790291769611621</v>
      </c>
      <c r="BO94" s="200">
        <f t="shared" si="184"/>
        <v>-28.634069381941245</v>
      </c>
      <c r="BP94" s="72">
        <f t="shared" si="152"/>
        <v>-26.043749390889825</v>
      </c>
      <c r="BQ94" s="276">
        <f t="shared" ref="BQ94:BS94" si="185">T94/M94</f>
        <v>2.6666666666666668E-2</v>
      </c>
      <c r="BR94" s="67">
        <f t="shared" si="185"/>
        <v>0</v>
      </c>
      <c r="BS94" s="67">
        <f t="shared" si="185"/>
        <v>7.8651685393258425E-2</v>
      </c>
      <c r="BT94" s="190">
        <f t="shared" ref="BT94:BT102" si="186">W94/P94</f>
        <v>5.8252427184466021E-2</v>
      </c>
      <c r="BU94" s="68">
        <f t="shared" si="133"/>
        <v>9.2783505154639179E-2</v>
      </c>
      <c r="BV94" s="175">
        <f t="shared" si="134"/>
        <v>5.6292366637194335E-2</v>
      </c>
      <c r="BW94" s="73">
        <f t="shared" si="135"/>
        <v>-5.8252427184466021E-2</v>
      </c>
    </row>
    <row r="95" spans="1:75" x14ac:dyDescent="0.25">
      <c r="A95" s="13">
        <v>83</v>
      </c>
      <c r="B95" s="59" t="s">
        <v>276</v>
      </c>
      <c r="C95" s="60">
        <v>0</v>
      </c>
      <c r="D95" s="61">
        <v>0</v>
      </c>
      <c r="E95" s="61">
        <v>0</v>
      </c>
      <c r="F95" s="145"/>
      <c r="G95" s="62"/>
      <c r="H95" s="60">
        <v>110</v>
      </c>
      <c r="I95" s="61">
        <v>113</v>
      </c>
      <c r="J95" s="61">
        <v>110</v>
      </c>
      <c r="K95" s="145"/>
      <c r="L95" s="62"/>
      <c r="M95" s="60">
        <v>22</v>
      </c>
      <c r="N95" s="61">
        <v>28</v>
      </c>
      <c r="O95" s="61">
        <v>30</v>
      </c>
      <c r="P95" s="145"/>
      <c r="Q95" s="62"/>
      <c r="R95" s="60">
        <v>0</v>
      </c>
      <c r="S95" s="61">
        <v>0</v>
      </c>
      <c r="T95" s="61">
        <v>0</v>
      </c>
      <c r="U95" s="61">
        <v>0</v>
      </c>
      <c r="V95" s="61">
        <v>0</v>
      </c>
      <c r="W95" s="145"/>
      <c r="X95" s="62"/>
      <c r="Y95" s="60">
        <v>17.649999999999999</v>
      </c>
      <c r="Z95" s="61">
        <v>17.649999999999999</v>
      </c>
      <c r="AA95" s="61">
        <v>18.989999999999998</v>
      </c>
      <c r="AB95" s="145">
        <v>19.91</v>
      </c>
      <c r="AC95" s="61">
        <v>19.91</v>
      </c>
      <c r="AD95" s="61"/>
      <c r="AE95" s="61"/>
      <c r="AF95" s="63"/>
      <c r="AG95" s="64"/>
      <c r="AH95" s="270">
        <v>11723</v>
      </c>
      <c r="AI95" s="65">
        <v>13224</v>
      </c>
      <c r="AJ95" s="65">
        <v>14530</v>
      </c>
      <c r="AK95" s="65">
        <v>16609</v>
      </c>
      <c r="AL95" s="65">
        <v>23471</v>
      </c>
      <c r="AM95" s="196"/>
      <c r="AN95" s="66"/>
      <c r="AO95" s="270">
        <v>1407</v>
      </c>
      <c r="AP95" s="65">
        <v>1923</v>
      </c>
      <c r="AQ95" s="65">
        <v>2167</v>
      </c>
      <c r="AR95" s="65">
        <v>1892</v>
      </c>
      <c r="AS95" s="65">
        <v>3655</v>
      </c>
      <c r="AT95" s="196"/>
      <c r="AU95" s="66"/>
      <c r="AV95" s="276">
        <f t="shared" si="182"/>
        <v>0.12002047257527937</v>
      </c>
      <c r="AW95" s="67">
        <f t="shared" si="182"/>
        <v>0.14541742286751361</v>
      </c>
      <c r="AX95" s="67">
        <f t="shared" si="182"/>
        <v>0.14913971094287681</v>
      </c>
      <c r="AY95" s="67">
        <f t="shared" si="182"/>
        <v>0.11391414293455356</v>
      </c>
      <c r="AZ95" s="67">
        <f t="shared" si="177"/>
        <v>0.15572408504111457</v>
      </c>
      <c r="BA95" s="190"/>
      <c r="BB95" s="190"/>
      <c r="BC95" s="276" t="s">
        <v>226</v>
      </c>
      <c r="BD95" s="69">
        <f>(AW95-$AV95)*100</f>
        <v>2.5396950292234237</v>
      </c>
      <c r="BE95" s="69">
        <f>(AX95-$AV95)*100</f>
        <v>2.9119238367597444</v>
      </c>
      <c r="BF95" s="69">
        <f>(AY95-$AV95)*100</f>
        <v>-0.61063296407258139</v>
      </c>
      <c r="BG95" s="69">
        <f>(AZ95-$AV95)*100</f>
        <v>3.5703612465835199</v>
      </c>
      <c r="BH95" s="199"/>
      <c r="BI95" s="70"/>
      <c r="BJ95" s="60" t="s">
        <v>226</v>
      </c>
      <c r="BK95" s="71">
        <f>(AW95-AV95)*100</f>
        <v>2.5396950292234237</v>
      </c>
      <c r="BL95" s="71">
        <f>(AX95-AW95)*100</f>
        <v>0.37222880753632059</v>
      </c>
      <c r="BM95" s="71">
        <f>(AY95-AX95)*100</f>
        <v>-3.5225568008323256</v>
      </c>
      <c r="BN95" s="71">
        <f>(AZ95-AY95)*100</f>
        <v>4.1809942106561016</v>
      </c>
      <c r="BO95" s="200"/>
      <c r="BP95" s="200"/>
      <c r="BQ95" s="276">
        <f t="shared" ref="BQ95:BS95" si="187">T95/M95</f>
        <v>0</v>
      </c>
      <c r="BR95" s="67">
        <f t="shared" si="187"/>
        <v>0</v>
      </c>
      <c r="BS95" s="67">
        <f t="shared" si="187"/>
        <v>0</v>
      </c>
      <c r="BT95" s="67"/>
      <c r="BU95" s="68"/>
      <c r="BV95" s="175"/>
      <c r="BW95" s="73"/>
    </row>
    <row r="96" spans="1:75" x14ac:dyDescent="0.25">
      <c r="A96" s="13">
        <v>84</v>
      </c>
      <c r="B96" s="59" t="s">
        <v>297</v>
      </c>
      <c r="C96" s="60">
        <v>0</v>
      </c>
      <c r="D96" s="61">
        <v>0</v>
      </c>
      <c r="E96" s="61">
        <v>0</v>
      </c>
      <c r="F96" s="145">
        <v>0</v>
      </c>
      <c r="G96" s="62"/>
      <c r="H96" s="60"/>
      <c r="I96" s="61"/>
      <c r="J96" s="61">
        <v>103</v>
      </c>
      <c r="K96" s="145">
        <v>103</v>
      </c>
      <c r="L96" s="62"/>
      <c r="M96" s="60"/>
      <c r="N96" s="61"/>
      <c r="O96" s="61">
        <v>17</v>
      </c>
      <c r="P96" s="145">
        <v>25</v>
      </c>
      <c r="Q96" s="62"/>
      <c r="R96" s="60"/>
      <c r="S96" s="61"/>
      <c r="T96" s="61"/>
      <c r="U96" s="61"/>
      <c r="V96" s="61">
        <v>11</v>
      </c>
      <c r="W96" s="145">
        <v>0</v>
      </c>
      <c r="X96" s="62"/>
      <c r="Y96" s="60"/>
      <c r="Z96" s="61"/>
      <c r="AA96" s="61"/>
      <c r="AB96" s="145"/>
      <c r="AC96" s="61" t="s">
        <v>104</v>
      </c>
      <c r="AD96" s="61"/>
      <c r="AE96" s="61"/>
      <c r="AF96" s="63" t="s">
        <v>340</v>
      </c>
      <c r="AG96" s="64"/>
      <c r="AH96" s="270"/>
      <c r="AI96" s="65"/>
      <c r="AJ96" s="65"/>
      <c r="AK96" s="65"/>
      <c r="AL96" s="65">
        <v>18228</v>
      </c>
      <c r="AM96" s="196">
        <v>37589.730000000003</v>
      </c>
      <c r="AN96" s="66"/>
      <c r="AO96" s="270"/>
      <c r="AP96" s="65"/>
      <c r="AQ96" s="65"/>
      <c r="AR96" s="65"/>
      <c r="AS96" s="65">
        <v>6999</v>
      </c>
      <c r="AT96" s="196">
        <v>12781.93</v>
      </c>
      <c r="AU96" s="66"/>
      <c r="AV96" s="276"/>
      <c r="AW96" s="67"/>
      <c r="AX96" s="67"/>
      <c r="AY96" s="67"/>
      <c r="AZ96" s="67">
        <f t="shared" si="177"/>
        <v>0.38396971691902565</v>
      </c>
      <c r="BA96" s="190">
        <v>0.34</v>
      </c>
      <c r="BB96" s="190"/>
      <c r="BC96" s="276" t="s">
        <v>226</v>
      </c>
      <c r="BD96" s="69"/>
      <c r="BE96" s="69"/>
      <c r="BF96" s="69"/>
      <c r="BG96" s="69"/>
      <c r="BH96" s="199"/>
      <c r="BI96" s="70"/>
      <c r="BJ96" s="60" t="s">
        <v>226</v>
      </c>
      <c r="BK96" s="71"/>
      <c r="BL96" s="71"/>
      <c r="BM96" s="71"/>
      <c r="BN96" s="71"/>
      <c r="BO96" s="200">
        <f>(BA96-AZ96)*100</f>
        <v>-4.3969716919025625</v>
      </c>
      <c r="BP96" s="200"/>
      <c r="BQ96" s="276"/>
      <c r="BR96" s="67"/>
      <c r="BS96" s="67">
        <f t="shared" ref="BS96:BT101" si="188">V96/O96</f>
        <v>0.6470588235294118</v>
      </c>
      <c r="BT96" s="67">
        <f t="shared" si="186"/>
        <v>0</v>
      </c>
      <c r="BU96" s="68"/>
      <c r="BV96" s="175"/>
      <c r="BW96" s="73"/>
    </row>
    <row r="97" spans="1:75" x14ac:dyDescent="0.25">
      <c r="A97" s="13">
        <v>85</v>
      </c>
      <c r="B97" s="59" t="s">
        <v>49</v>
      </c>
      <c r="C97" s="60">
        <v>12</v>
      </c>
      <c r="D97" s="61">
        <v>12</v>
      </c>
      <c r="E97" s="61">
        <v>12</v>
      </c>
      <c r="F97" s="145">
        <v>0</v>
      </c>
      <c r="G97" s="62">
        <v>12</v>
      </c>
      <c r="H97" s="60">
        <v>230</v>
      </c>
      <c r="I97" s="61">
        <v>238</v>
      </c>
      <c r="J97" s="61">
        <v>238</v>
      </c>
      <c r="K97" s="145">
        <v>245</v>
      </c>
      <c r="L97" s="62">
        <v>247</v>
      </c>
      <c r="M97" s="60">
        <v>7</v>
      </c>
      <c r="N97" s="61">
        <v>24</v>
      </c>
      <c r="O97" s="61">
        <v>46</v>
      </c>
      <c r="P97" s="145">
        <v>56</v>
      </c>
      <c r="Q97" s="62">
        <v>48</v>
      </c>
      <c r="R97" s="60">
        <v>12</v>
      </c>
      <c r="S97" s="61">
        <v>6</v>
      </c>
      <c r="T97" s="61">
        <v>7</v>
      </c>
      <c r="U97" s="61">
        <v>25</v>
      </c>
      <c r="V97" s="61">
        <v>20</v>
      </c>
      <c r="W97" s="145">
        <v>16</v>
      </c>
      <c r="X97" s="62">
        <v>15</v>
      </c>
      <c r="Y97" s="60">
        <v>23.57</v>
      </c>
      <c r="Z97" s="61">
        <v>30.57</v>
      </c>
      <c r="AA97" s="61">
        <v>37.6</v>
      </c>
      <c r="AB97" s="145">
        <v>37.6</v>
      </c>
      <c r="AC97" s="61">
        <v>37.6</v>
      </c>
      <c r="AD97" s="91"/>
      <c r="AE97" s="61"/>
      <c r="AF97" s="145">
        <v>37.6</v>
      </c>
      <c r="AG97" s="145">
        <v>37.6</v>
      </c>
      <c r="AH97" s="270">
        <v>34266</v>
      </c>
      <c r="AI97" s="65">
        <v>34202</v>
      </c>
      <c r="AJ97" s="65">
        <v>48860</v>
      </c>
      <c r="AK97" s="65">
        <v>68782</v>
      </c>
      <c r="AL97" s="65">
        <v>60136</v>
      </c>
      <c r="AM97" s="196">
        <v>66744</v>
      </c>
      <c r="AN97" s="66">
        <v>78276</v>
      </c>
      <c r="AO97" s="270">
        <v>528</v>
      </c>
      <c r="AP97" s="65">
        <v>406</v>
      </c>
      <c r="AQ97" s="65">
        <v>917</v>
      </c>
      <c r="AR97" s="65">
        <v>4630</v>
      </c>
      <c r="AS97" s="65">
        <v>7570</v>
      </c>
      <c r="AT97" s="196">
        <v>8706</v>
      </c>
      <c r="AU97" s="66">
        <v>10083</v>
      </c>
      <c r="AV97" s="276">
        <f t="shared" ref="AV97:AY97" si="189">AO97/AH97</f>
        <v>1.5408860094554369E-2</v>
      </c>
      <c r="AW97" s="67">
        <f t="shared" si="189"/>
        <v>1.1870650839132215E-2</v>
      </c>
      <c r="AX97" s="67">
        <f t="shared" si="189"/>
        <v>1.8767908309455586E-2</v>
      </c>
      <c r="AY97" s="67">
        <f t="shared" si="189"/>
        <v>6.7314122880986302E-2</v>
      </c>
      <c r="AZ97" s="67">
        <f t="shared" si="177"/>
        <v>0.12588133563921777</v>
      </c>
      <c r="BA97" s="190">
        <f t="shared" si="177"/>
        <v>0.13043869111830278</v>
      </c>
      <c r="BB97" s="68">
        <f t="shared" si="123"/>
        <v>0.12881342940364862</v>
      </c>
      <c r="BC97" s="276" t="s">
        <v>226</v>
      </c>
      <c r="BD97" s="69">
        <f t="shared" ref="BD97:BH97" si="190">(AW97-$AV97)*100</f>
        <v>-0.35382092554221545</v>
      </c>
      <c r="BE97" s="69">
        <f t="shared" si="190"/>
        <v>0.33590482149012163</v>
      </c>
      <c r="BF97" s="69">
        <f t="shared" si="190"/>
        <v>5.1905262786431932</v>
      </c>
      <c r="BG97" s="69">
        <f t="shared" si="190"/>
        <v>11.04724755446634</v>
      </c>
      <c r="BH97" s="199">
        <f t="shared" si="190"/>
        <v>11.50298310237484</v>
      </c>
      <c r="BI97" s="70">
        <f t="shared" si="136"/>
        <v>11.340456930909424</v>
      </c>
      <c r="BJ97" s="60" t="s">
        <v>226</v>
      </c>
      <c r="BK97" s="71">
        <f t="shared" ref="BK97:BO97" si="191">(AW97-AV97)*100</f>
        <v>-0.35382092554221545</v>
      </c>
      <c r="BL97" s="71">
        <f t="shared" si="191"/>
        <v>0.68972574703233713</v>
      </c>
      <c r="BM97" s="71">
        <f t="shared" si="191"/>
        <v>4.8546214571530717</v>
      </c>
      <c r="BN97" s="71">
        <f t="shared" si="191"/>
        <v>5.8567212758231468</v>
      </c>
      <c r="BO97" s="200">
        <f t="shared" si="191"/>
        <v>0.45573554790850068</v>
      </c>
      <c r="BP97" s="72">
        <f t="shared" si="152"/>
        <v>-0.16252617146541581</v>
      </c>
      <c r="BQ97" s="276">
        <f t="shared" ref="BQ97:BR97" si="192">T97/M97</f>
        <v>1</v>
      </c>
      <c r="BR97" s="67">
        <f t="shared" si="192"/>
        <v>1.0416666666666667</v>
      </c>
      <c r="BS97" s="67">
        <f t="shared" si="188"/>
        <v>0.43478260869565216</v>
      </c>
      <c r="BT97" s="190">
        <f t="shared" si="186"/>
        <v>0.2857142857142857</v>
      </c>
      <c r="BU97" s="68">
        <f t="shared" si="133"/>
        <v>0.3125</v>
      </c>
      <c r="BV97" s="175">
        <f t="shared" si="134"/>
        <v>0</v>
      </c>
      <c r="BW97" s="73">
        <f t="shared" si="135"/>
        <v>-0.14285714285714285</v>
      </c>
    </row>
    <row r="98" spans="1:75" x14ac:dyDescent="0.25">
      <c r="A98" s="13">
        <v>87</v>
      </c>
      <c r="B98" s="59" t="s">
        <v>298</v>
      </c>
      <c r="C98" s="60">
        <v>21</v>
      </c>
      <c r="D98" s="61">
        <v>36</v>
      </c>
      <c r="E98" s="61">
        <v>70</v>
      </c>
      <c r="F98" s="145">
        <v>64</v>
      </c>
      <c r="G98" s="62"/>
      <c r="H98" s="60"/>
      <c r="I98" s="61"/>
      <c r="J98" s="61"/>
      <c r="K98" s="145">
        <v>0</v>
      </c>
      <c r="L98" s="62"/>
      <c r="M98" s="60">
        <v>197</v>
      </c>
      <c r="N98" s="61">
        <v>411</v>
      </c>
      <c r="O98" s="61">
        <v>372</v>
      </c>
      <c r="P98" s="145">
        <v>262</v>
      </c>
      <c r="Q98" s="62"/>
      <c r="R98" s="60">
        <v>8</v>
      </c>
      <c r="S98" s="61">
        <v>2</v>
      </c>
      <c r="T98" s="61">
        <v>5</v>
      </c>
      <c r="U98" s="61">
        <v>4</v>
      </c>
      <c r="V98" s="61">
        <v>12</v>
      </c>
      <c r="W98" s="145">
        <v>24</v>
      </c>
      <c r="X98" s="62"/>
      <c r="Y98" s="60">
        <v>27.87</v>
      </c>
      <c r="Z98" s="61">
        <v>32.799999999999997</v>
      </c>
      <c r="AA98" s="61">
        <v>54.23</v>
      </c>
      <c r="AB98" s="145">
        <v>44.58</v>
      </c>
      <c r="AC98" s="61">
        <v>42.21</v>
      </c>
      <c r="AD98" s="61"/>
      <c r="AE98" s="61"/>
      <c r="AF98" s="61">
        <v>42.21</v>
      </c>
      <c r="AG98" s="62"/>
      <c r="AH98" s="270">
        <v>474652</v>
      </c>
      <c r="AI98" s="65">
        <v>553133</v>
      </c>
      <c r="AJ98" s="65">
        <v>645876</v>
      </c>
      <c r="AK98" s="65">
        <v>970867</v>
      </c>
      <c r="AL98" s="65">
        <v>575613</v>
      </c>
      <c r="AM98" s="196">
        <v>544571</v>
      </c>
      <c r="AN98" s="66"/>
      <c r="AO98" s="270"/>
      <c r="AP98" s="65"/>
      <c r="AQ98" s="65">
        <v>37994</v>
      </c>
      <c r="AR98" s="65">
        <v>80916</v>
      </c>
      <c r="AS98" s="65">
        <v>76229</v>
      </c>
      <c r="AT98" s="196">
        <v>74169</v>
      </c>
      <c r="AU98" s="66"/>
      <c r="AV98" s="276">
        <f t="shared" ref="AV98:AY101" si="193">AO98/AH98</f>
        <v>0</v>
      </c>
      <c r="AW98" s="67">
        <f t="shared" si="193"/>
        <v>0</v>
      </c>
      <c r="AX98" s="67">
        <f t="shared" si="193"/>
        <v>5.8825533074460111E-2</v>
      </c>
      <c r="AY98" s="67">
        <f t="shared" si="193"/>
        <v>8.3344062574997393E-2</v>
      </c>
      <c r="AZ98" s="67">
        <f t="shared" si="177"/>
        <v>0.13243099096094077</v>
      </c>
      <c r="BA98" s="190">
        <v>0.14000000000000001</v>
      </c>
      <c r="BB98" s="190"/>
      <c r="BC98" s="276" t="s">
        <v>226</v>
      </c>
      <c r="BD98" s="69">
        <f t="shared" ref="BD98:BH99" si="194">(AW98-$AV98)*100</f>
        <v>0</v>
      </c>
      <c r="BE98" s="69">
        <f t="shared" si="194"/>
        <v>5.8825533074460115</v>
      </c>
      <c r="BF98" s="69">
        <f t="shared" si="194"/>
        <v>8.3344062574997402</v>
      </c>
      <c r="BG98" s="69">
        <f t="shared" si="194"/>
        <v>13.243099096094078</v>
      </c>
      <c r="BH98" s="199">
        <f t="shared" si="194"/>
        <v>14.000000000000002</v>
      </c>
      <c r="BI98" s="70"/>
      <c r="BJ98" s="60" t="s">
        <v>226</v>
      </c>
      <c r="BK98" s="71">
        <f t="shared" ref="BK98:BO101" si="195">(AW98-AV98)*100</f>
        <v>0</v>
      </c>
      <c r="BL98" s="71">
        <f t="shared" si="195"/>
        <v>5.8825533074460115</v>
      </c>
      <c r="BM98" s="71">
        <f t="shared" si="195"/>
        <v>2.4518529500537283</v>
      </c>
      <c r="BN98" s="71">
        <f t="shared" si="195"/>
        <v>4.9086928385943374</v>
      </c>
      <c r="BO98" s="200">
        <f>(BA98-AZ98)*100</f>
        <v>0.75690090390592435</v>
      </c>
      <c r="BP98" s="200"/>
      <c r="BQ98" s="276">
        <f t="shared" ref="BQ98:BR101" si="196">T98/M98</f>
        <v>2.5380710659898477E-2</v>
      </c>
      <c r="BR98" s="67">
        <f t="shared" si="196"/>
        <v>9.7323600973236012E-3</v>
      </c>
      <c r="BS98" s="67">
        <f t="shared" si="188"/>
        <v>3.2258064516129031E-2</v>
      </c>
      <c r="BT98" s="67">
        <f t="shared" si="186"/>
        <v>9.1603053435114504E-2</v>
      </c>
      <c r="BU98" s="68"/>
      <c r="BV98" s="175">
        <f t="shared" si="134"/>
        <v>-1</v>
      </c>
      <c r="BW98" s="73">
        <f t="shared" si="135"/>
        <v>-1</v>
      </c>
    </row>
    <row r="99" spans="1:75" x14ac:dyDescent="0.25">
      <c r="A99" s="13">
        <v>87</v>
      </c>
      <c r="B99" s="59" t="s">
        <v>277</v>
      </c>
      <c r="C99" s="60">
        <v>0</v>
      </c>
      <c r="D99" s="61">
        <v>0</v>
      </c>
      <c r="E99" s="61">
        <v>0</v>
      </c>
      <c r="F99" s="145">
        <v>0</v>
      </c>
      <c r="G99" s="62"/>
      <c r="H99" s="60">
        <v>107</v>
      </c>
      <c r="I99" s="61">
        <v>109</v>
      </c>
      <c r="J99" s="61">
        <v>110</v>
      </c>
      <c r="K99" s="145">
        <v>123</v>
      </c>
      <c r="L99" s="62"/>
      <c r="M99" s="60">
        <v>10</v>
      </c>
      <c r="N99" s="61">
        <v>17</v>
      </c>
      <c r="O99" s="61">
        <v>12</v>
      </c>
      <c r="P99" s="145">
        <v>12</v>
      </c>
      <c r="Q99" s="62"/>
      <c r="R99" s="60">
        <v>0</v>
      </c>
      <c r="S99" s="61">
        <v>0</v>
      </c>
      <c r="T99" s="61">
        <v>0</v>
      </c>
      <c r="U99" s="61">
        <v>0</v>
      </c>
      <c r="V99" s="61">
        <v>0</v>
      </c>
      <c r="W99" s="145">
        <v>0</v>
      </c>
      <c r="X99" s="62"/>
      <c r="Y99" s="60"/>
      <c r="Z99" s="61"/>
      <c r="AA99" s="61"/>
      <c r="AB99" s="145"/>
      <c r="AC99" s="61"/>
      <c r="AD99" s="61"/>
      <c r="AE99" s="61"/>
      <c r="AF99" s="63"/>
      <c r="AG99" s="64"/>
      <c r="AH99" s="270">
        <v>14251</v>
      </c>
      <c r="AI99" s="65">
        <v>14849</v>
      </c>
      <c r="AJ99" s="65">
        <v>17266</v>
      </c>
      <c r="AK99" s="65">
        <v>21240</v>
      </c>
      <c r="AL99" s="65">
        <v>23760</v>
      </c>
      <c r="AM99" s="196">
        <v>24873</v>
      </c>
      <c r="AN99" s="66"/>
      <c r="AO99" s="270">
        <v>317</v>
      </c>
      <c r="AP99" s="65">
        <v>525</v>
      </c>
      <c r="AQ99" s="65">
        <v>693</v>
      </c>
      <c r="AR99" s="65">
        <v>600</v>
      </c>
      <c r="AS99" s="65">
        <v>587</v>
      </c>
      <c r="AT99" s="196">
        <v>902</v>
      </c>
      <c r="AU99" s="66"/>
      <c r="AV99" s="276">
        <f t="shared" si="193"/>
        <v>2.2244053048908849E-2</v>
      </c>
      <c r="AW99" s="67">
        <f t="shared" si="193"/>
        <v>3.5355916223314701E-2</v>
      </c>
      <c r="AX99" s="67">
        <f t="shared" si="193"/>
        <v>4.0136684814085485E-2</v>
      </c>
      <c r="AY99" s="67">
        <f t="shared" si="193"/>
        <v>2.8248587570621469E-2</v>
      </c>
      <c r="AZ99" s="67">
        <f t="shared" si="177"/>
        <v>2.4705387205387206E-2</v>
      </c>
      <c r="BA99" s="190">
        <v>0.04</v>
      </c>
      <c r="BB99" s="190"/>
      <c r="BC99" s="276" t="s">
        <v>226</v>
      </c>
      <c r="BD99" s="69">
        <f t="shared" si="194"/>
        <v>1.3111863174405851</v>
      </c>
      <c r="BE99" s="69">
        <f t="shared" si="194"/>
        <v>1.7892631765176636</v>
      </c>
      <c r="BF99" s="69">
        <f t="shared" si="194"/>
        <v>0.600453452171262</v>
      </c>
      <c r="BG99" s="69">
        <f t="shared" si="194"/>
        <v>0.2461334156478357</v>
      </c>
      <c r="BH99" s="199">
        <f t="shared" si="194"/>
        <v>1.7755946951091153</v>
      </c>
      <c r="BI99" s="70"/>
      <c r="BJ99" s="60" t="s">
        <v>226</v>
      </c>
      <c r="BK99" s="71">
        <f t="shared" si="195"/>
        <v>1.3111863174405851</v>
      </c>
      <c r="BL99" s="71">
        <f t="shared" si="195"/>
        <v>0.47807685907707842</v>
      </c>
      <c r="BM99" s="71">
        <f t="shared" si="195"/>
        <v>-1.1888097243464018</v>
      </c>
      <c r="BN99" s="71">
        <f t="shared" si="195"/>
        <v>-0.35432003652342625</v>
      </c>
      <c r="BO99" s="200">
        <f>(BA99-AZ99)*100</f>
        <v>1.5294612794612794</v>
      </c>
      <c r="BP99" s="200"/>
      <c r="BQ99" s="276">
        <f t="shared" si="196"/>
        <v>0</v>
      </c>
      <c r="BR99" s="67">
        <f t="shared" si="196"/>
        <v>0</v>
      </c>
      <c r="BS99" s="67">
        <f t="shared" si="188"/>
        <v>0</v>
      </c>
      <c r="BT99" s="67">
        <f t="shared" si="186"/>
        <v>0</v>
      </c>
      <c r="BU99" s="68"/>
      <c r="BV99" s="175"/>
      <c r="BW99" s="73"/>
    </row>
    <row r="100" spans="1:75" x14ac:dyDescent="0.25">
      <c r="A100" s="13">
        <v>87</v>
      </c>
      <c r="B100" s="59" t="s">
        <v>278</v>
      </c>
      <c r="C100" s="60">
        <v>0</v>
      </c>
      <c r="D100" s="61">
        <v>0</v>
      </c>
      <c r="E100" s="61">
        <v>0</v>
      </c>
      <c r="F100" s="145"/>
      <c r="G100" s="62"/>
      <c r="H100" s="60">
        <v>52</v>
      </c>
      <c r="I100" s="61">
        <v>54</v>
      </c>
      <c r="J100" s="61">
        <v>52</v>
      </c>
      <c r="K100" s="145"/>
      <c r="L100" s="62"/>
      <c r="M100" s="60">
        <v>15</v>
      </c>
      <c r="N100" s="61">
        <v>12</v>
      </c>
      <c r="O100" s="61">
        <v>8</v>
      </c>
      <c r="P100" s="145"/>
      <c r="Q100" s="62"/>
      <c r="R100" s="60"/>
      <c r="S100" s="61"/>
      <c r="T100" s="61"/>
      <c r="U100" s="61"/>
      <c r="V100" s="61"/>
      <c r="W100" s="145"/>
      <c r="X100" s="62"/>
      <c r="Y100" s="60">
        <v>11.05</v>
      </c>
      <c r="Z100" s="61">
        <f>(11.05+12.65)/2</f>
        <v>11.850000000000001</v>
      </c>
      <c r="AA100" s="61">
        <v>12.65</v>
      </c>
      <c r="AB100" s="145">
        <v>12.65</v>
      </c>
      <c r="AC100" s="61">
        <v>12.65</v>
      </c>
      <c r="AD100" s="61"/>
      <c r="AE100" s="61"/>
      <c r="AF100" s="63"/>
      <c r="AG100" s="64"/>
      <c r="AH100" s="270">
        <v>2112</v>
      </c>
      <c r="AI100" s="65">
        <v>2009</v>
      </c>
      <c r="AJ100" s="65">
        <v>2709</v>
      </c>
      <c r="AK100" s="65">
        <v>2552</v>
      </c>
      <c r="AL100" s="65">
        <v>3387</v>
      </c>
      <c r="AM100" s="196"/>
      <c r="AN100" s="66"/>
      <c r="AO100" s="270">
        <v>812</v>
      </c>
      <c r="AP100" s="65">
        <v>601</v>
      </c>
      <c r="AQ100" s="65">
        <v>561</v>
      </c>
      <c r="AR100" s="65">
        <v>550</v>
      </c>
      <c r="AS100" s="65">
        <v>537</v>
      </c>
      <c r="AT100" s="196"/>
      <c r="AU100" s="66"/>
      <c r="AV100" s="276">
        <f t="shared" si="193"/>
        <v>0.38446969696969696</v>
      </c>
      <c r="AW100" s="67">
        <f t="shared" si="193"/>
        <v>0.29915380786460927</v>
      </c>
      <c r="AX100" s="67">
        <f t="shared" si="193"/>
        <v>0.20708748615725359</v>
      </c>
      <c r="AY100" s="67">
        <f t="shared" si="193"/>
        <v>0.21551724137931033</v>
      </c>
      <c r="AZ100" s="67">
        <f t="shared" si="177"/>
        <v>0.15854738706820196</v>
      </c>
      <c r="BA100" s="190"/>
      <c r="BB100" s="190"/>
      <c r="BC100" s="276" t="s">
        <v>226</v>
      </c>
      <c r="BD100" s="69">
        <f t="shared" ref="BD100:BH101" si="197">(AW100-$AV100)*100</f>
        <v>-8.5315889105087699</v>
      </c>
      <c r="BE100" s="69">
        <f t="shared" si="197"/>
        <v>-17.738221081244337</v>
      </c>
      <c r="BF100" s="69">
        <f t="shared" si="197"/>
        <v>-16.895245559038663</v>
      </c>
      <c r="BG100" s="69">
        <f t="shared" si="197"/>
        <v>-22.592230990149499</v>
      </c>
      <c r="BH100" s="199"/>
      <c r="BI100" s="70">
        <f t="shared" si="136"/>
        <v>-38.446969696969695</v>
      </c>
      <c r="BJ100" s="60" t="s">
        <v>226</v>
      </c>
      <c r="BK100" s="71">
        <f t="shared" si="195"/>
        <v>-8.5315889105087699</v>
      </c>
      <c r="BL100" s="71">
        <f t="shared" si="195"/>
        <v>-9.2066321707355687</v>
      </c>
      <c r="BM100" s="71">
        <f t="shared" si="195"/>
        <v>0.84297552220567451</v>
      </c>
      <c r="BN100" s="71">
        <f t="shared" si="195"/>
        <v>-5.6969854311108374</v>
      </c>
      <c r="BO100" s="200"/>
      <c r="BP100" s="200"/>
      <c r="BQ100" s="276">
        <f t="shared" si="196"/>
        <v>0</v>
      </c>
      <c r="BR100" s="67">
        <f t="shared" si="196"/>
        <v>0</v>
      </c>
      <c r="BS100" s="67">
        <f t="shared" si="188"/>
        <v>0</v>
      </c>
      <c r="BT100" s="67"/>
      <c r="BU100" s="68"/>
      <c r="BV100" s="175"/>
      <c r="BW100" s="73"/>
    </row>
    <row r="101" spans="1:75" x14ac:dyDescent="0.25">
      <c r="A101" s="13">
        <v>87</v>
      </c>
      <c r="B101" s="59" t="s">
        <v>279</v>
      </c>
      <c r="C101" s="60">
        <v>0</v>
      </c>
      <c r="D101" s="61">
        <v>0</v>
      </c>
      <c r="E101" s="61">
        <v>0</v>
      </c>
      <c r="F101" s="145">
        <v>0</v>
      </c>
      <c r="G101" s="62">
        <v>0</v>
      </c>
      <c r="H101" s="60">
        <v>158</v>
      </c>
      <c r="I101" s="61">
        <v>157</v>
      </c>
      <c r="J101" s="61">
        <v>156</v>
      </c>
      <c r="K101" s="145">
        <v>160</v>
      </c>
      <c r="L101" s="62">
        <v>174</v>
      </c>
      <c r="M101" s="60">
        <v>67</v>
      </c>
      <c r="N101" s="61">
        <v>67</v>
      </c>
      <c r="O101" s="61">
        <v>57</v>
      </c>
      <c r="P101" s="145">
        <v>60</v>
      </c>
      <c r="Q101" s="62">
        <v>90</v>
      </c>
      <c r="R101" s="60">
        <v>9</v>
      </c>
      <c r="S101" s="61">
        <v>12</v>
      </c>
      <c r="T101" s="61">
        <v>0</v>
      </c>
      <c r="U101" s="61">
        <v>0</v>
      </c>
      <c r="V101" s="61">
        <v>2</v>
      </c>
      <c r="W101" s="145">
        <v>3</v>
      </c>
      <c r="X101" s="62">
        <v>10</v>
      </c>
      <c r="Y101" s="85">
        <v>18</v>
      </c>
      <c r="Z101" s="61">
        <v>18.739999999999998</v>
      </c>
      <c r="AA101" s="61">
        <v>28.46</v>
      </c>
      <c r="AB101" s="145">
        <v>22.68</v>
      </c>
      <c r="AC101" s="61">
        <v>22.68</v>
      </c>
      <c r="AD101" s="91"/>
      <c r="AE101" s="61"/>
      <c r="AF101" s="152">
        <v>26.4</v>
      </c>
      <c r="AG101" s="64">
        <v>29</v>
      </c>
      <c r="AH101" s="270">
        <v>33334</v>
      </c>
      <c r="AI101" s="65">
        <v>37059</v>
      </c>
      <c r="AJ101" s="65">
        <v>40830</v>
      </c>
      <c r="AK101" s="65">
        <v>40869</v>
      </c>
      <c r="AL101" s="65">
        <v>36384</v>
      </c>
      <c r="AM101" s="196">
        <v>39040.129999999997</v>
      </c>
      <c r="AN101" s="66">
        <v>43991.44</v>
      </c>
      <c r="AO101" s="270">
        <v>3881</v>
      </c>
      <c r="AP101" s="65">
        <v>3642</v>
      </c>
      <c r="AQ101" s="65">
        <v>3386</v>
      </c>
      <c r="AR101" s="65">
        <v>4521</v>
      </c>
      <c r="AS101" s="65">
        <v>4836</v>
      </c>
      <c r="AT101" s="196">
        <v>4404.34</v>
      </c>
      <c r="AU101" s="66">
        <v>14158.38</v>
      </c>
      <c r="AV101" s="276">
        <f t="shared" si="193"/>
        <v>0.11642767144657107</v>
      </c>
      <c r="AW101" s="67">
        <f t="shared" si="193"/>
        <v>9.8275722496559539E-2</v>
      </c>
      <c r="AX101" s="67">
        <f t="shared" si="193"/>
        <v>8.2929218711731575E-2</v>
      </c>
      <c r="AY101" s="67">
        <f t="shared" si="193"/>
        <v>0.11062174264112164</v>
      </c>
      <c r="AZ101" s="67">
        <f t="shared" si="177"/>
        <v>0.1329155672823219</v>
      </c>
      <c r="BA101" s="190">
        <f t="shared" si="177"/>
        <v>0.11281571039850534</v>
      </c>
      <c r="BB101" s="68">
        <f t="shared" si="123"/>
        <v>0.32184397691914607</v>
      </c>
      <c r="BC101" s="276" t="s">
        <v>226</v>
      </c>
      <c r="BD101" s="69">
        <f t="shared" si="197"/>
        <v>-1.8151948950011529</v>
      </c>
      <c r="BE101" s="69">
        <f t="shared" si="197"/>
        <v>-3.3498452734839494</v>
      </c>
      <c r="BF101" s="69">
        <f t="shared" si="197"/>
        <v>-0.58059288054494318</v>
      </c>
      <c r="BG101" s="69">
        <f t="shared" si="197"/>
        <v>1.6487895835750832</v>
      </c>
      <c r="BH101" s="199">
        <f t="shared" si="197"/>
        <v>-0.36119610480657288</v>
      </c>
      <c r="BI101" s="70">
        <f t="shared" si="136"/>
        <v>20.541630547257501</v>
      </c>
      <c r="BJ101" s="60" t="s">
        <v>226</v>
      </c>
      <c r="BK101" s="71">
        <f t="shared" si="195"/>
        <v>-1.8151948950011529</v>
      </c>
      <c r="BL101" s="71">
        <f t="shared" si="195"/>
        <v>-1.5346503784827963</v>
      </c>
      <c r="BM101" s="71">
        <f t="shared" si="195"/>
        <v>2.769252392939006</v>
      </c>
      <c r="BN101" s="71">
        <f t="shared" si="195"/>
        <v>2.2293824641200262</v>
      </c>
      <c r="BO101" s="200">
        <f t="shared" si="195"/>
        <v>-2.009985688381656</v>
      </c>
      <c r="BP101" s="72">
        <f t="shared" si="152"/>
        <v>20.902826652064071</v>
      </c>
      <c r="BQ101" s="276">
        <f t="shared" si="196"/>
        <v>0</v>
      </c>
      <c r="BR101" s="67">
        <f t="shared" si="196"/>
        <v>0</v>
      </c>
      <c r="BS101" s="67">
        <f t="shared" si="188"/>
        <v>3.5087719298245612E-2</v>
      </c>
      <c r="BT101" s="190">
        <f t="shared" si="188"/>
        <v>0.05</v>
      </c>
      <c r="BU101" s="68">
        <f t="shared" si="133"/>
        <v>0.1111111111111111</v>
      </c>
      <c r="BV101" s="175">
        <f t="shared" si="134"/>
        <v>9.848484848484855E-2</v>
      </c>
      <c r="BW101" s="73">
        <f t="shared" si="135"/>
        <v>0.5</v>
      </c>
    </row>
    <row r="102" spans="1:75" x14ac:dyDescent="0.25">
      <c r="A102" s="13">
        <v>87</v>
      </c>
      <c r="B102" s="59" t="s">
        <v>336</v>
      </c>
      <c r="C102" s="60"/>
      <c r="D102" s="61"/>
      <c r="E102" s="61"/>
      <c r="F102" s="145">
        <v>6</v>
      </c>
      <c r="G102" s="62">
        <v>0</v>
      </c>
      <c r="H102" s="60"/>
      <c r="I102" s="61"/>
      <c r="J102" s="61"/>
      <c r="K102" s="145">
        <v>71</v>
      </c>
      <c r="L102" s="62">
        <v>72</v>
      </c>
      <c r="M102" s="60"/>
      <c r="N102" s="61"/>
      <c r="O102" s="61"/>
      <c r="P102" s="145">
        <v>21</v>
      </c>
      <c r="Q102" s="62">
        <v>9</v>
      </c>
      <c r="R102" s="60"/>
      <c r="S102" s="61"/>
      <c r="T102" s="61"/>
      <c r="U102" s="61"/>
      <c r="V102" s="61"/>
      <c r="W102" s="145">
        <v>0</v>
      </c>
      <c r="X102" s="62">
        <v>0</v>
      </c>
      <c r="Y102" s="85"/>
      <c r="Z102" s="61"/>
      <c r="AA102" s="61"/>
      <c r="AB102" s="145"/>
      <c r="AC102" s="61"/>
      <c r="AD102" s="91"/>
      <c r="AE102" s="61"/>
      <c r="AF102" s="152" t="s">
        <v>337</v>
      </c>
      <c r="AG102" s="152" t="s">
        <v>337</v>
      </c>
      <c r="AH102" s="270"/>
      <c r="AI102" s="65"/>
      <c r="AJ102" s="65"/>
      <c r="AK102" s="65"/>
      <c r="AL102" s="65"/>
      <c r="AM102" s="196">
        <v>7924</v>
      </c>
      <c r="AN102" s="66">
        <v>7831</v>
      </c>
      <c r="AO102" s="270"/>
      <c r="AP102" s="65"/>
      <c r="AQ102" s="65"/>
      <c r="AR102" s="65"/>
      <c r="AS102" s="65"/>
      <c r="AT102" s="196">
        <v>2063</v>
      </c>
      <c r="AU102" s="66">
        <v>988</v>
      </c>
      <c r="AV102" s="276"/>
      <c r="AW102" s="67"/>
      <c r="AX102" s="67"/>
      <c r="AY102" s="67"/>
      <c r="AZ102" s="67"/>
      <c r="BA102" s="190">
        <f t="shared" ref="BA102" si="198">AT102/AM102</f>
        <v>0.26034830893488137</v>
      </c>
      <c r="BB102" s="68">
        <f t="shared" si="123"/>
        <v>0.12616524070999871</v>
      </c>
      <c r="BC102" s="276"/>
      <c r="BD102" s="69"/>
      <c r="BE102" s="69"/>
      <c r="BF102" s="69"/>
      <c r="BG102" s="69"/>
      <c r="BH102" s="199"/>
      <c r="BI102" s="70"/>
      <c r="BJ102" s="60"/>
      <c r="BK102" s="71"/>
      <c r="BL102" s="71"/>
      <c r="BM102" s="71"/>
      <c r="BN102" s="71"/>
      <c r="BO102" s="200"/>
      <c r="BP102" s="72">
        <f t="shared" si="152"/>
        <v>-13.418306822488265</v>
      </c>
      <c r="BQ102" s="276"/>
      <c r="BR102" s="67"/>
      <c r="BS102" s="67"/>
      <c r="BT102" s="190">
        <f t="shared" si="186"/>
        <v>0</v>
      </c>
      <c r="BU102" s="68">
        <f t="shared" si="133"/>
        <v>0</v>
      </c>
      <c r="BV102" s="175"/>
      <c r="BW102" s="73">
        <f t="shared" si="135"/>
        <v>-0.5714285714285714</v>
      </c>
    </row>
    <row r="103" spans="1:75" x14ac:dyDescent="0.25">
      <c r="A103" s="13">
        <v>87</v>
      </c>
      <c r="B103" s="59" t="s">
        <v>280</v>
      </c>
      <c r="C103" s="60">
        <v>0</v>
      </c>
      <c r="D103" s="61">
        <v>0</v>
      </c>
      <c r="E103" s="61">
        <v>0</v>
      </c>
      <c r="F103" s="145"/>
      <c r="G103" s="62">
        <v>9</v>
      </c>
      <c r="H103" s="60">
        <v>132</v>
      </c>
      <c r="I103" s="61">
        <v>130</v>
      </c>
      <c r="J103" s="61">
        <v>132</v>
      </c>
      <c r="K103" s="145"/>
      <c r="L103" s="62">
        <v>101</v>
      </c>
      <c r="M103" s="60">
        <v>20</v>
      </c>
      <c r="N103" s="61">
        <v>28</v>
      </c>
      <c r="O103" s="61">
        <v>39</v>
      </c>
      <c r="P103" s="145"/>
      <c r="Q103" s="62">
        <v>30</v>
      </c>
      <c r="R103" s="60">
        <v>9</v>
      </c>
      <c r="S103" s="61">
        <v>4</v>
      </c>
      <c r="T103" s="61">
        <v>0</v>
      </c>
      <c r="U103" s="61">
        <v>0</v>
      </c>
      <c r="V103" s="61">
        <v>10</v>
      </c>
      <c r="W103" s="145"/>
      <c r="X103" s="62">
        <v>10</v>
      </c>
      <c r="Y103" s="60">
        <v>13.37</v>
      </c>
      <c r="Z103" s="61">
        <v>24.2</v>
      </c>
      <c r="AA103" s="61">
        <v>33.409999999999997</v>
      </c>
      <c r="AB103" s="145">
        <v>33.409999999999997</v>
      </c>
      <c r="AC103" s="61">
        <v>33.409999999999997</v>
      </c>
      <c r="AD103" s="91"/>
      <c r="AE103" s="61"/>
      <c r="AF103" s="152"/>
      <c r="AG103" s="64">
        <v>39.5</v>
      </c>
      <c r="AH103" s="270">
        <v>13142</v>
      </c>
      <c r="AI103" s="65">
        <v>18334</v>
      </c>
      <c r="AJ103" s="65">
        <v>26535</v>
      </c>
      <c r="AK103" s="65">
        <v>38664</v>
      </c>
      <c r="AL103" s="65">
        <v>36231</v>
      </c>
      <c r="AM103" s="196"/>
      <c r="AN103" s="66">
        <v>36303.599999999999</v>
      </c>
      <c r="AO103" s="270">
        <v>336</v>
      </c>
      <c r="AP103" s="65">
        <v>435</v>
      </c>
      <c r="AQ103" s="65">
        <v>1699</v>
      </c>
      <c r="AR103" s="65">
        <v>6227</v>
      </c>
      <c r="AS103" s="65">
        <v>8378</v>
      </c>
      <c r="AT103" s="196"/>
      <c r="AU103" s="66">
        <v>6293.05</v>
      </c>
      <c r="AV103" s="276">
        <f t="shared" ref="AV103:BA104" si="199">AO103/AH103</f>
        <v>2.5566884796834576E-2</v>
      </c>
      <c r="AW103" s="67">
        <f t="shared" si="199"/>
        <v>2.3726409948729137E-2</v>
      </c>
      <c r="AX103" s="67">
        <f t="shared" si="199"/>
        <v>6.4028641416996421E-2</v>
      </c>
      <c r="AY103" s="67">
        <f t="shared" si="199"/>
        <v>0.16105421063521622</v>
      </c>
      <c r="AZ103" s="67">
        <f t="shared" si="199"/>
        <v>0.23123844221799011</v>
      </c>
      <c r="BA103" s="190"/>
      <c r="BB103" s="68">
        <f t="shared" si="123"/>
        <v>0.1733450677067839</v>
      </c>
      <c r="BC103" s="276" t="s">
        <v>226</v>
      </c>
      <c r="BD103" s="69">
        <f>(AW103-$AV103)*100</f>
        <v>-0.18404748481054384</v>
      </c>
      <c r="BE103" s="69">
        <f>(AX103-$AV103)*100</f>
        <v>3.8461756620161847</v>
      </c>
      <c r="BF103" s="69">
        <f t="shared" ref="BF103:BH104" si="200">(AY103-$AV103)*100</f>
        <v>13.548732583838163</v>
      </c>
      <c r="BG103" s="69">
        <f t="shared" si="200"/>
        <v>20.567155742115553</v>
      </c>
      <c r="BH103" s="199"/>
      <c r="BI103" s="70">
        <f t="shared" si="136"/>
        <v>14.777818290994931</v>
      </c>
      <c r="BJ103" s="60" t="s">
        <v>226</v>
      </c>
      <c r="BK103" s="71">
        <f t="shared" ref="BK103:BP104" si="201">(AW103-AV103)*100</f>
        <v>-0.18404748481054384</v>
      </c>
      <c r="BL103" s="71">
        <f t="shared" si="201"/>
        <v>4.030223146826728</v>
      </c>
      <c r="BM103" s="71">
        <f t="shared" si="201"/>
        <v>9.70255692182198</v>
      </c>
      <c r="BN103" s="71">
        <f t="shared" si="201"/>
        <v>7.0184231582773897</v>
      </c>
      <c r="BO103" s="200"/>
      <c r="BP103" s="72"/>
      <c r="BQ103" s="276">
        <f t="shared" ref="BQ103:BT104" si="202">T103/M103</f>
        <v>0</v>
      </c>
      <c r="BR103" s="67">
        <f t="shared" si="202"/>
        <v>0</v>
      </c>
      <c r="BS103" s="67">
        <f t="shared" si="202"/>
        <v>0.25641025641025639</v>
      </c>
      <c r="BT103" s="190"/>
      <c r="BU103" s="68">
        <f t="shared" si="133"/>
        <v>0.33333333333333331</v>
      </c>
      <c r="BV103" s="175"/>
      <c r="BW103" s="73"/>
    </row>
    <row r="104" spans="1:75" x14ac:dyDescent="0.25">
      <c r="A104" s="13">
        <v>91</v>
      </c>
      <c r="B104" s="59" t="s">
        <v>53</v>
      </c>
      <c r="C104" s="60">
        <v>0</v>
      </c>
      <c r="D104" s="61">
        <v>0</v>
      </c>
      <c r="E104" s="61">
        <v>0</v>
      </c>
      <c r="F104" s="145">
        <v>0</v>
      </c>
      <c r="G104" s="62">
        <v>0</v>
      </c>
      <c r="H104" s="60">
        <v>76</v>
      </c>
      <c r="I104" s="61">
        <v>76</v>
      </c>
      <c r="J104" s="61">
        <v>76</v>
      </c>
      <c r="K104" s="145">
        <v>77</v>
      </c>
      <c r="L104" s="62">
        <v>76</v>
      </c>
      <c r="M104" s="60">
        <v>8</v>
      </c>
      <c r="N104" s="61">
        <v>12</v>
      </c>
      <c r="O104" s="61">
        <v>15</v>
      </c>
      <c r="P104" s="145">
        <v>8</v>
      </c>
      <c r="Q104" s="62">
        <v>13</v>
      </c>
      <c r="R104" s="60">
        <v>1</v>
      </c>
      <c r="S104" s="61">
        <v>0</v>
      </c>
      <c r="T104" s="61">
        <v>0</v>
      </c>
      <c r="U104" s="61">
        <v>1</v>
      </c>
      <c r="V104" s="61">
        <v>1</v>
      </c>
      <c r="W104" s="145">
        <v>3</v>
      </c>
      <c r="X104" s="62">
        <v>2</v>
      </c>
      <c r="Y104" s="85">
        <v>9.3000000000000007</v>
      </c>
      <c r="Z104" s="63">
        <v>11.1</v>
      </c>
      <c r="AA104" s="63">
        <v>14.8</v>
      </c>
      <c r="AB104" s="152">
        <v>16.5</v>
      </c>
      <c r="AC104" s="63">
        <v>16.5</v>
      </c>
      <c r="AD104" s="150"/>
      <c r="AE104" s="63"/>
      <c r="AF104" s="152">
        <v>16.5</v>
      </c>
      <c r="AG104" s="152">
        <v>16.5</v>
      </c>
      <c r="AH104" s="270">
        <v>13916.33</v>
      </c>
      <c r="AI104" s="65">
        <v>16341.35</v>
      </c>
      <c r="AJ104" s="65">
        <v>20431.599999999999</v>
      </c>
      <c r="AK104" s="65">
        <v>25307.05</v>
      </c>
      <c r="AL104" s="65">
        <v>25164.36</v>
      </c>
      <c r="AM104" s="196">
        <v>24158.61</v>
      </c>
      <c r="AN104" s="66">
        <v>22964.6</v>
      </c>
      <c r="AO104" s="270">
        <v>27.36</v>
      </c>
      <c r="AP104" s="65">
        <v>0</v>
      </c>
      <c r="AQ104" s="65">
        <v>184.53</v>
      </c>
      <c r="AR104" s="65">
        <v>3233.6</v>
      </c>
      <c r="AS104" s="65">
        <v>1637.44</v>
      </c>
      <c r="AT104" s="196">
        <v>4733.4399999999996</v>
      </c>
      <c r="AU104" s="66">
        <v>5757.02</v>
      </c>
      <c r="AV104" s="276">
        <f t="shared" si="199"/>
        <v>1.96603558553153E-3</v>
      </c>
      <c r="AW104" s="67">
        <f t="shared" si="199"/>
        <v>0</v>
      </c>
      <c r="AX104" s="67">
        <f t="shared" si="199"/>
        <v>9.0315981127273449E-3</v>
      </c>
      <c r="AY104" s="67">
        <f t="shared" si="199"/>
        <v>0.12777467148482341</v>
      </c>
      <c r="AZ104" s="67">
        <f t="shared" si="199"/>
        <v>6.5069805073524625E-2</v>
      </c>
      <c r="BA104" s="190">
        <f t="shared" si="199"/>
        <v>0.19593180236776866</v>
      </c>
      <c r="BB104" s="68">
        <f t="shared" si="123"/>
        <v>0.25069106363707622</v>
      </c>
      <c r="BC104" s="276" t="s">
        <v>226</v>
      </c>
      <c r="BD104" s="69">
        <f>(AW104-$AV104)*100</f>
        <v>-0.19660355855315301</v>
      </c>
      <c r="BE104" s="69">
        <f>(AX104-$AV104)*100</f>
        <v>0.70655625271958145</v>
      </c>
      <c r="BF104" s="69">
        <f t="shared" si="200"/>
        <v>12.580863589929189</v>
      </c>
      <c r="BG104" s="69">
        <f t="shared" si="200"/>
        <v>6.3103769487993091</v>
      </c>
      <c r="BH104" s="199">
        <f t="shared" si="200"/>
        <v>19.396576678223713</v>
      </c>
      <c r="BI104" s="70">
        <f t="shared" si="136"/>
        <v>24.872502805154468</v>
      </c>
      <c r="BJ104" s="60" t="s">
        <v>226</v>
      </c>
      <c r="BK104" s="71">
        <f t="shared" si="201"/>
        <v>-0.19660355855315301</v>
      </c>
      <c r="BL104" s="71">
        <f t="shared" si="201"/>
        <v>0.90315981127273448</v>
      </c>
      <c r="BM104" s="71">
        <f t="shared" si="201"/>
        <v>11.874307337209606</v>
      </c>
      <c r="BN104" s="71">
        <f t="shared" si="201"/>
        <v>-6.2704866411298781</v>
      </c>
      <c r="BO104" s="200">
        <f t="shared" si="201"/>
        <v>13.086199729424402</v>
      </c>
      <c r="BP104" s="72">
        <f t="shared" si="201"/>
        <v>5.4759261269307551</v>
      </c>
      <c r="BQ104" s="276">
        <f t="shared" si="202"/>
        <v>0</v>
      </c>
      <c r="BR104" s="67">
        <f t="shared" si="202"/>
        <v>8.3333333333333329E-2</v>
      </c>
      <c r="BS104" s="67">
        <f t="shared" si="202"/>
        <v>6.6666666666666666E-2</v>
      </c>
      <c r="BT104" s="190">
        <f t="shared" si="202"/>
        <v>0.375</v>
      </c>
      <c r="BU104" s="68">
        <f t="shared" si="133"/>
        <v>0.15384615384615385</v>
      </c>
      <c r="BV104" s="175">
        <f t="shared" ref="BV104" si="203">(AG104-AF104)/AF104</f>
        <v>0</v>
      </c>
      <c r="BW104" s="73">
        <f t="shared" ref="BW104" si="204">(Q104-P104)/P104</f>
        <v>0.625</v>
      </c>
    </row>
    <row r="105" spans="1:75" x14ac:dyDescent="0.25">
      <c r="A105" s="13">
        <v>92</v>
      </c>
      <c r="B105" s="59" t="s">
        <v>54</v>
      </c>
      <c r="C105" s="60"/>
      <c r="D105" s="61"/>
      <c r="E105" s="61"/>
      <c r="F105" s="145">
        <v>0</v>
      </c>
      <c r="G105" s="62"/>
      <c r="H105" s="60"/>
      <c r="I105" s="61"/>
      <c r="J105" s="61"/>
      <c r="K105" s="145">
        <v>314</v>
      </c>
      <c r="L105" s="62"/>
      <c r="M105" s="60"/>
      <c r="N105" s="61"/>
      <c r="O105" s="61"/>
      <c r="P105" s="145">
        <v>90</v>
      </c>
      <c r="Q105" s="62"/>
      <c r="R105" s="60"/>
      <c r="S105" s="61"/>
      <c r="T105" s="61"/>
      <c r="U105" s="61"/>
      <c r="V105" s="61"/>
      <c r="W105" s="145">
        <v>8</v>
      </c>
      <c r="X105" s="62"/>
      <c r="Y105" s="60"/>
      <c r="Z105" s="61"/>
      <c r="AA105" s="61"/>
      <c r="AB105" s="145"/>
      <c r="AC105" s="61"/>
      <c r="AD105" s="61"/>
      <c r="AE105" s="61"/>
      <c r="AF105" s="63">
        <v>44.99</v>
      </c>
      <c r="AG105" s="64"/>
      <c r="AH105" s="270"/>
      <c r="AI105" s="65"/>
      <c r="AJ105" s="65"/>
      <c r="AK105" s="65"/>
      <c r="AL105" s="65"/>
      <c r="AM105" s="196">
        <v>106032.41</v>
      </c>
      <c r="AN105" s="66"/>
      <c r="AO105" s="270"/>
      <c r="AP105" s="65"/>
      <c r="AQ105" s="65"/>
      <c r="AR105" s="65"/>
      <c r="AS105" s="65"/>
      <c r="AT105" s="196">
        <v>22461.49</v>
      </c>
      <c r="AU105" s="66"/>
      <c r="AV105" s="276"/>
      <c r="AW105" s="67"/>
      <c r="AX105" s="67"/>
      <c r="AY105" s="67"/>
      <c r="AZ105" s="67"/>
      <c r="BA105" s="190">
        <v>0.21</v>
      </c>
      <c r="BB105" s="190"/>
      <c r="BC105" s="276" t="s">
        <v>226</v>
      </c>
      <c r="BD105" s="69"/>
      <c r="BE105" s="69"/>
      <c r="BF105" s="69"/>
      <c r="BG105" s="69"/>
      <c r="BH105" s="199"/>
      <c r="BI105" s="70"/>
      <c r="BJ105" s="60" t="s">
        <v>226</v>
      </c>
      <c r="BK105" s="71"/>
      <c r="BL105" s="71"/>
      <c r="BM105" s="71"/>
      <c r="BN105" s="71"/>
      <c r="BO105" s="200"/>
      <c r="BP105" s="200"/>
      <c r="BQ105" s="276"/>
      <c r="BR105" s="67"/>
      <c r="BS105" s="67"/>
      <c r="BT105" s="67">
        <f>W105/P105</f>
        <v>8.8888888888888892E-2</v>
      </c>
      <c r="BU105" s="68"/>
      <c r="BV105" s="175">
        <f t="shared" si="134"/>
        <v>-1</v>
      </c>
      <c r="BW105" s="73">
        <f t="shared" si="135"/>
        <v>-1</v>
      </c>
    </row>
    <row r="106" spans="1:75" x14ac:dyDescent="0.25">
      <c r="A106" s="13">
        <v>93</v>
      </c>
      <c r="B106" s="59" t="s">
        <v>398</v>
      </c>
      <c r="C106" s="60">
        <v>28</v>
      </c>
      <c r="D106" s="61">
        <v>28</v>
      </c>
      <c r="E106" s="61">
        <v>28</v>
      </c>
      <c r="F106" s="145">
        <v>29</v>
      </c>
      <c r="G106" s="62">
        <v>27</v>
      </c>
      <c r="H106" s="60"/>
      <c r="I106" s="61"/>
      <c r="J106" s="61"/>
      <c r="K106" s="145">
        <v>0</v>
      </c>
      <c r="L106" s="62">
        <v>0</v>
      </c>
      <c r="M106" s="60">
        <v>220</v>
      </c>
      <c r="N106" s="61">
        <v>174</v>
      </c>
      <c r="O106" s="61">
        <v>236</v>
      </c>
      <c r="P106" s="145">
        <v>1875</v>
      </c>
      <c r="Q106" s="62">
        <v>555</v>
      </c>
      <c r="R106" s="60">
        <v>18</v>
      </c>
      <c r="S106" s="61">
        <v>12</v>
      </c>
      <c r="T106" s="61">
        <v>8</v>
      </c>
      <c r="U106" s="61">
        <v>9</v>
      </c>
      <c r="V106" s="61">
        <v>7</v>
      </c>
      <c r="W106" s="145">
        <v>10</v>
      </c>
      <c r="X106" s="62">
        <v>7</v>
      </c>
      <c r="Y106" s="60">
        <v>18.34</v>
      </c>
      <c r="Z106" s="61">
        <v>24.08</v>
      </c>
      <c r="AA106" s="61">
        <v>29.96</v>
      </c>
      <c r="AB106" s="145">
        <v>31.38</v>
      </c>
      <c r="AC106" s="61">
        <v>31.38</v>
      </c>
      <c r="AD106" s="91"/>
      <c r="AE106" s="61"/>
      <c r="AF106" s="152">
        <v>30.23</v>
      </c>
      <c r="AG106" s="64">
        <v>30.23</v>
      </c>
      <c r="AH106" s="270">
        <v>153696</v>
      </c>
      <c r="AI106" s="65">
        <v>159584</v>
      </c>
      <c r="AJ106" s="65">
        <v>198604</v>
      </c>
      <c r="AK106" s="65">
        <v>271710</v>
      </c>
      <c r="AL106" s="65">
        <v>284263</v>
      </c>
      <c r="AM106" s="196">
        <v>254666</v>
      </c>
      <c r="AN106" s="66">
        <v>275861</v>
      </c>
      <c r="AO106" s="270"/>
      <c r="AP106" s="65"/>
      <c r="AQ106" s="65">
        <v>4992</v>
      </c>
      <c r="AR106" s="65">
        <v>26787</v>
      </c>
      <c r="AS106" s="65">
        <v>33498</v>
      </c>
      <c r="AT106" s="196">
        <v>90556</v>
      </c>
      <c r="AU106" s="66">
        <v>19180</v>
      </c>
      <c r="AV106" s="276">
        <f t="shared" ref="AV106:BA106" si="205">AO106/AH106</f>
        <v>0</v>
      </c>
      <c r="AW106" s="67">
        <f t="shared" si="205"/>
        <v>0</v>
      </c>
      <c r="AX106" s="67">
        <f t="shared" si="205"/>
        <v>2.5135445408954502E-2</v>
      </c>
      <c r="AY106" s="67">
        <f t="shared" si="205"/>
        <v>9.8586728497294912E-2</v>
      </c>
      <c r="AZ106" s="67">
        <f t="shared" si="205"/>
        <v>0.11784157628674855</v>
      </c>
      <c r="BA106" s="190">
        <f t="shared" si="205"/>
        <v>0.35558731829140916</v>
      </c>
      <c r="BB106" s="68">
        <f t="shared" si="123"/>
        <v>6.9527769420106508E-2</v>
      </c>
      <c r="BC106" s="276" t="s">
        <v>226</v>
      </c>
      <c r="BD106" s="69">
        <f>(AW106-$AV106)*100</f>
        <v>0</v>
      </c>
      <c r="BE106" s="69">
        <f>(AX106-$AV106)*100</f>
        <v>2.5135445408954502</v>
      </c>
      <c r="BF106" s="69">
        <f t="shared" ref="BF106:BH106" si="206">(AY106-$AV106)*100</f>
        <v>9.8586728497294907</v>
      </c>
      <c r="BG106" s="69">
        <f t="shared" si="206"/>
        <v>11.784157628674855</v>
      </c>
      <c r="BH106" s="199">
        <f t="shared" si="206"/>
        <v>35.558731829140918</v>
      </c>
      <c r="BI106" s="70">
        <f t="shared" si="136"/>
        <v>6.9527769420106509</v>
      </c>
      <c r="BJ106" s="60" t="s">
        <v>226</v>
      </c>
      <c r="BK106" s="71">
        <f t="shared" ref="BK106:BO106" si="207">(AW106-AV106)*100</f>
        <v>0</v>
      </c>
      <c r="BL106" s="71">
        <f t="shared" si="207"/>
        <v>2.5135445408954502</v>
      </c>
      <c r="BM106" s="71">
        <f t="shared" si="207"/>
        <v>7.3451283088340409</v>
      </c>
      <c r="BN106" s="71">
        <f t="shared" si="207"/>
        <v>1.9254847789453633</v>
      </c>
      <c r="BO106" s="200">
        <f t="shared" si="207"/>
        <v>23.774574200466063</v>
      </c>
      <c r="BP106" s="72">
        <f>(BB106-BA106)*100</f>
        <v>-28.605954887130263</v>
      </c>
      <c r="BQ106" s="276">
        <f t="shared" ref="BQ106:BT106" si="208">T106/M106</f>
        <v>3.6363636363636362E-2</v>
      </c>
      <c r="BR106" s="67">
        <f t="shared" si="208"/>
        <v>5.1724137931034482E-2</v>
      </c>
      <c r="BS106" s="67">
        <f t="shared" si="208"/>
        <v>2.9661016949152543E-2</v>
      </c>
      <c r="BT106" s="190">
        <f t="shared" si="208"/>
        <v>5.3333333333333332E-3</v>
      </c>
      <c r="BU106" s="68">
        <f t="shared" si="133"/>
        <v>1.2612612612612612E-2</v>
      </c>
      <c r="BV106" s="175">
        <f t="shared" si="134"/>
        <v>0</v>
      </c>
      <c r="BW106" s="73">
        <f t="shared" si="135"/>
        <v>-0.70399999999999996</v>
      </c>
    </row>
    <row r="107" spans="1:75" x14ac:dyDescent="0.25">
      <c r="A107" s="13">
        <v>93</v>
      </c>
      <c r="B107" s="59" t="s">
        <v>396</v>
      </c>
      <c r="C107" s="60"/>
      <c r="D107" s="61"/>
      <c r="E107" s="61"/>
      <c r="F107" s="145">
        <v>0</v>
      </c>
      <c r="G107" s="62">
        <v>0</v>
      </c>
      <c r="H107" s="60"/>
      <c r="I107" s="61"/>
      <c r="J107" s="61"/>
      <c r="K107" s="145">
        <v>66</v>
      </c>
      <c r="L107" s="62">
        <v>66</v>
      </c>
      <c r="M107" s="60"/>
      <c r="N107" s="61"/>
      <c r="O107" s="61"/>
      <c r="P107" s="145">
        <v>18</v>
      </c>
      <c r="Q107" s="62">
        <v>24</v>
      </c>
      <c r="R107" s="60"/>
      <c r="S107" s="61"/>
      <c r="T107" s="61"/>
      <c r="U107" s="61"/>
      <c r="V107" s="61"/>
      <c r="W107" s="145">
        <v>0</v>
      </c>
      <c r="X107" s="62">
        <v>0</v>
      </c>
      <c r="Y107" s="60"/>
      <c r="Z107" s="61"/>
      <c r="AA107" s="61"/>
      <c r="AB107" s="145"/>
      <c r="AC107" s="61"/>
      <c r="AD107" s="91"/>
      <c r="AE107" s="61"/>
      <c r="AF107" s="152">
        <v>33.04</v>
      </c>
      <c r="AG107" s="64">
        <v>33.04</v>
      </c>
      <c r="AH107" s="270"/>
      <c r="AI107" s="65"/>
      <c r="AJ107" s="65"/>
      <c r="AK107" s="65"/>
      <c r="AL107" s="65"/>
      <c r="AM107" s="196">
        <v>15990.59</v>
      </c>
      <c r="AN107" s="66">
        <v>21295.23</v>
      </c>
      <c r="AO107" s="270"/>
      <c r="AP107" s="65"/>
      <c r="AQ107" s="65"/>
      <c r="AR107" s="65"/>
      <c r="AS107" s="65"/>
      <c r="AT107" s="196">
        <v>3330.14</v>
      </c>
      <c r="AU107" s="66">
        <v>4187.87</v>
      </c>
      <c r="AV107" s="276"/>
      <c r="AW107" s="67"/>
      <c r="AX107" s="67"/>
      <c r="AY107" s="67"/>
      <c r="AZ107" s="67"/>
      <c r="BA107" s="190">
        <f t="shared" ref="BA107" si="209">AT107/AM107</f>
        <v>0.20825623069567789</v>
      </c>
      <c r="BB107" s="68">
        <f t="shared" si="123"/>
        <v>0.19665765525894766</v>
      </c>
      <c r="BC107" s="276"/>
      <c r="BD107" s="69"/>
      <c r="BE107" s="69"/>
      <c r="BF107" s="69"/>
      <c r="BG107" s="69"/>
      <c r="BH107" s="199"/>
      <c r="BI107" s="70"/>
      <c r="BJ107" s="60"/>
      <c r="BK107" s="71"/>
      <c r="BL107" s="71"/>
      <c r="BM107" s="71"/>
      <c r="BN107" s="71"/>
      <c r="BO107" s="200"/>
      <c r="BP107" s="72">
        <f>(BB107-BA107)*100</f>
        <v>-1.1598575436730236</v>
      </c>
      <c r="BQ107" s="276"/>
      <c r="BR107" s="67"/>
      <c r="BS107" s="67"/>
      <c r="BT107" s="190">
        <f t="shared" ref="BT107" si="210">W107/P107</f>
        <v>0</v>
      </c>
      <c r="BU107" s="68">
        <f t="shared" si="133"/>
        <v>0</v>
      </c>
      <c r="BV107" s="175">
        <f t="shared" si="134"/>
        <v>0</v>
      </c>
      <c r="BW107" s="73">
        <f t="shared" si="135"/>
        <v>0.33333333333333331</v>
      </c>
    </row>
    <row r="108" spans="1:75" x14ac:dyDescent="0.25">
      <c r="A108" s="13">
        <v>93</v>
      </c>
      <c r="B108" s="59" t="s">
        <v>399</v>
      </c>
      <c r="C108" s="60"/>
      <c r="D108" s="61"/>
      <c r="E108" s="61"/>
      <c r="F108" s="145"/>
      <c r="G108" s="62">
        <v>3</v>
      </c>
      <c r="H108" s="60"/>
      <c r="I108" s="61"/>
      <c r="J108" s="61"/>
      <c r="K108" s="145"/>
      <c r="L108" s="62">
        <v>20</v>
      </c>
      <c r="M108" s="60"/>
      <c r="N108" s="61"/>
      <c r="O108" s="61"/>
      <c r="P108" s="145"/>
      <c r="Q108" s="62">
        <v>7</v>
      </c>
      <c r="R108" s="60"/>
      <c r="S108" s="61"/>
      <c r="T108" s="61"/>
      <c r="U108" s="61"/>
      <c r="V108" s="61"/>
      <c r="W108" s="145"/>
      <c r="X108" s="62">
        <v>0</v>
      </c>
      <c r="Y108" s="60"/>
      <c r="Z108" s="61"/>
      <c r="AA108" s="61"/>
      <c r="AB108" s="145"/>
      <c r="AC108" s="61"/>
      <c r="AD108" s="91"/>
      <c r="AE108" s="61"/>
      <c r="AF108" s="152"/>
      <c r="AG108" s="64" t="s">
        <v>400</v>
      </c>
      <c r="AH108" s="270"/>
      <c r="AI108" s="65"/>
      <c r="AJ108" s="65"/>
      <c r="AK108" s="65"/>
      <c r="AL108" s="65"/>
      <c r="AM108" s="196"/>
      <c r="AN108" s="66">
        <v>2380.4899999999998</v>
      </c>
      <c r="AO108" s="270"/>
      <c r="AP108" s="65"/>
      <c r="AQ108" s="65"/>
      <c r="AR108" s="65"/>
      <c r="AS108" s="65"/>
      <c r="AT108" s="196"/>
      <c r="AU108" s="66">
        <v>833.47</v>
      </c>
      <c r="AV108" s="276"/>
      <c r="AW108" s="67"/>
      <c r="AX108" s="67"/>
      <c r="AY108" s="67"/>
      <c r="AZ108" s="67"/>
      <c r="BA108" s="190"/>
      <c r="BB108" s="68">
        <f t="shared" si="123"/>
        <v>0.35012539435158313</v>
      </c>
      <c r="BC108" s="276"/>
      <c r="BD108" s="69"/>
      <c r="BE108" s="69"/>
      <c r="BF108" s="69"/>
      <c r="BG108" s="69"/>
      <c r="BH108" s="199"/>
      <c r="BI108" s="70"/>
      <c r="BJ108" s="60"/>
      <c r="BK108" s="71"/>
      <c r="BL108" s="71"/>
      <c r="BM108" s="71"/>
      <c r="BN108" s="71"/>
      <c r="BO108" s="200"/>
      <c r="BP108" s="72"/>
      <c r="BQ108" s="276"/>
      <c r="BR108" s="67"/>
      <c r="BS108" s="67"/>
      <c r="BT108" s="190"/>
      <c r="BU108" s="68">
        <f t="shared" si="133"/>
        <v>0</v>
      </c>
      <c r="BV108" s="175"/>
      <c r="BW108" s="73"/>
    </row>
    <row r="109" spans="1:75" x14ac:dyDescent="0.25">
      <c r="A109" s="13">
        <v>96</v>
      </c>
      <c r="B109" s="59" t="s">
        <v>367</v>
      </c>
      <c r="C109" s="60"/>
      <c r="D109" s="61"/>
      <c r="E109" s="61"/>
      <c r="F109" s="145">
        <v>0</v>
      </c>
      <c r="G109" s="62"/>
      <c r="H109" s="60"/>
      <c r="I109" s="61"/>
      <c r="J109" s="61"/>
      <c r="K109" s="145">
        <v>90</v>
      </c>
      <c r="L109" s="62"/>
      <c r="M109" s="60"/>
      <c r="N109" s="61"/>
      <c r="O109" s="61"/>
      <c r="P109" s="145">
        <v>48</v>
      </c>
      <c r="Q109" s="62"/>
      <c r="R109" s="60"/>
      <c r="S109" s="61"/>
      <c r="T109" s="61"/>
      <c r="U109" s="61"/>
      <c r="V109" s="61"/>
      <c r="W109" s="145">
        <v>0</v>
      </c>
      <c r="X109" s="62"/>
      <c r="Y109" s="85"/>
      <c r="Z109" s="63"/>
      <c r="AA109" s="63"/>
      <c r="AB109" s="152"/>
      <c r="AC109" s="63"/>
      <c r="AD109" s="61"/>
      <c r="AE109" s="61"/>
      <c r="AF109" s="63">
        <v>25.2</v>
      </c>
      <c r="AG109" s="64"/>
      <c r="AH109" s="270"/>
      <c r="AI109" s="65"/>
      <c r="AJ109" s="65"/>
      <c r="AK109" s="65"/>
      <c r="AL109" s="65"/>
      <c r="AM109" s="196">
        <v>22818</v>
      </c>
      <c r="AN109" s="66"/>
      <c r="AO109" s="270"/>
      <c r="AP109" s="65"/>
      <c r="AQ109" s="65"/>
      <c r="AR109" s="65"/>
      <c r="AS109" s="65"/>
      <c r="AT109" s="196">
        <v>9420</v>
      </c>
      <c r="AU109" s="66"/>
      <c r="AV109" s="276"/>
      <c r="AW109" s="67"/>
      <c r="AX109" s="67"/>
      <c r="AY109" s="67"/>
      <c r="AZ109" s="67"/>
      <c r="BA109" s="190">
        <v>0.41199999999999998</v>
      </c>
      <c r="BB109" s="190"/>
      <c r="BC109" s="276"/>
      <c r="BD109" s="69"/>
      <c r="BE109" s="69"/>
      <c r="BF109" s="69"/>
      <c r="BG109" s="69"/>
      <c r="BH109" s="199"/>
      <c r="BI109" s="70"/>
      <c r="BJ109" s="60"/>
      <c r="BK109" s="71"/>
      <c r="BL109" s="71"/>
      <c r="BM109" s="71"/>
      <c r="BN109" s="71"/>
      <c r="BO109" s="200"/>
      <c r="BP109" s="200"/>
      <c r="BQ109" s="276"/>
      <c r="BR109" s="67"/>
      <c r="BS109" s="67"/>
      <c r="BT109" s="67">
        <f t="shared" ref="BT109:BT110" si="211">W109/P109</f>
        <v>0</v>
      </c>
      <c r="BU109" s="68"/>
      <c r="BV109" s="175"/>
      <c r="BW109" s="73"/>
    </row>
    <row r="110" spans="1:75" x14ac:dyDescent="0.25">
      <c r="A110" s="13">
        <v>96</v>
      </c>
      <c r="B110" s="59" t="s">
        <v>239</v>
      </c>
      <c r="C110" s="60">
        <v>12</v>
      </c>
      <c r="D110" s="61">
        <v>12</v>
      </c>
      <c r="E110" s="61">
        <v>12</v>
      </c>
      <c r="F110" s="145">
        <v>11</v>
      </c>
      <c r="G110" s="62"/>
      <c r="H110" s="60">
        <v>208</v>
      </c>
      <c r="I110" s="61">
        <v>204</v>
      </c>
      <c r="J110" s="61">
        <v>204</v>
      </c>
      <c r="K110" s="145">
        <v>180</v>
      </c>
      <c r="L110" s="62"/>
      <c r="M110" s="60">
        <v>18</v>
      </c>
      <c r="N110" s="61">
        <v>37</v>
      </c>
      <c r="O110" s="61">
        <v>58</v>
      </c>
      <c r="P110" s="145">
        <v>33</v>
      </c>
      <c r="Q110" s="62"/>
      <c r="R110" s="60">
        <v>0</v>
      </c>
      <c r="S110" s="61">
        <v>0</v>
      </c>
      <c r="T110" s="61">
        <v>0</v>
      </c>
      <c r="U110" s="61">
        <v>0</v>
      </c>
      <c r="V110" s="61">
        <v>0</v>
      </c>
      <c r="W110" s="145">
        <v>6</v>
      </c>
      <c r="X110" s="62"/>
      <c r="Y110" s="60" t="s">
        <v>240</v>
      </c>
      <c r="Z110" s="61" t="s">
        <v>240</v>
      </c>
      <c r="AA110" s="61" t="s">
        <v>240</v>
      </c>
      <c r="AB110" s="145" t="s">
        <v>240</v>
      </c>
      <c r="AC110" s="61" t="s">
        <v>240</v>
      </c>
      <c r="AD110" s="61">
        <v>0.77</v>
      </c>
      <c r="AE110" s="61">
        <v>0.77</v>
      </c>
      <c r="AF110" s="61" t="s">
        <v>240</v>
      </c>
      <c r="AG110" s="62"/>
      <c r="AH110" s="270">
        <v>36472</v>
      </c>
      <c r="AI110" s="65">
        <v>38742</v>
      </c>
      <c r="AJ110" s="65">
        <v>40298</v>
      </c>
      <c r="AK110" s="65">
        <v>46742</v>
      </c>
      <c r="AL110" s="65">
        <v>44939</v>
      </c>
      <c r="AM110" s="196"/>
      <c r="AN110" s="66"/>
      <c r="AO110" s="270">
        <v>2985</v>
      </c>
      <c r="AP110" s="65">
        <v>3247</v>
      </c>
      <c r="AQ110" s="65">
        <v>2985</v>
      </c>
      <c r="AR110" s="65">
        <v>7011</v>
      </c>
      <c r="AS110" s="65">
        <v>11684</v>
      </c>
      <c r="AT110" s="196">
        <v>14373.08</v>
      </c>
      <c r="AU110" s="66"/>
      <c r="AV110" s="276">
        <f>AO110/AH110</f>
        <v>8.1843606053959198E-2</v>
      </c>
      <c r="AW110" s="67">
        <f>AP110/AI110</f>
        <v>8.3810851272520775E-2</v>
      </c>
      <c r="AX110" s="67">
        <f>AQ110/AJ110</f>
        <v>7.407315499528512E-2</v>
      </c>
      <c r="AY110" s="67">
        <f>AR110/AK110</f>
        <v>0.14999358178939712</v>
      </c>
      <c r="AZ110" s="67">
        <f>AS110/AL110</f>
        <v>0.25999688466588039</v>
      </c>
      <c r="BA110" s="190"/>
      <c r="BB110" s="190"/>
      <c r="BC110" s="276" t="s">
        <v>226</v>
      </c>
      <c r="BD110" s="69">
        <f t="shared" ref="BD110:BG117" si="212">(AW110-$AV110)*100</f>
        <v>0.1967245218561578</v>
      </c>
      <c r="BE110" s="69">
        <f t="shared" si="212"/>
        <v>-0.77704510586740771</v>
      </c>
      <c r="BF110" s="69">
        <f t="shared" si="212"/>
        <v>6.814997573543792</v>
      </c>
      <c r="BG110" s="69">
        <f t="shared" si="212"/>
        <v>17.81532786119212</v>
      </c>
      <c r="BH110" s="199"/>
      <c r="BI110" s="70"/>
      <c r="BJ110" s="60" t="s">
        <v>226</v>
      </c>
      <c r="BK110" s="71">
        <f t="shared" ref="BK110:BN117" si="213">(AW110-AV110)*100</f>
        <v>0.1967245218561578</v>
      </c>
      <c r="BL110" s="71">
        <f t="shared" si="213"/>
        <v>-0.97376962772356546</v>
      </c>
      <c r="BM110" s="71">
        <f t="shared" si="213"/>
        <v>7.5920426794111995</v>
      </c>
      <c r="BN110" s="71">
        <f t="shared" si="213"/>
        <v>11.000330287648326</v>
      </c>
      <c r="BO110" s="200"/>
      <c r="BP110" s="200"/>
      <c r="BQ110" s="276">
        <f>T110/M110</f>
        <v>0</v>
      </c>
      <c r="BR110" s="67">
        <f>U110/N110</f>
        <v>0</v>
      </c>
      <c r="BS110" s="67">
        <f>V110/O110</f>
        <v>0</v>
      </c>
      <c r="BT110" s="67">
        <f t="shared" si="211"/>
        <v>0.18181818181818182</v>
      </c>
      <c r="BU110" s="68"/>
      <c r="BV110" s="175"/>
      <c r="BW110" s="73"/>
    </row>
    <row r="111" spans="1:75" x14ac:dyDescent="0.25">
      <c r="A111" s="13">
        <v>96</v>
      </c>
      <c r="B111" s="59" t="s">
        <v>241</v>
      </c>
      <c r="C111" s="60">
        <v>11</v>
      </c>
      <c r="D111" s="61">
        <v>9</v>
      </c>
      <c r="E111" s="145">
        <v>9</v>
      </c>
      <c r="F111" s="145"/>
      <c r="G111" s="62"/>
      <c r="H111" s="60">
        <v>204</v>
      </c>
      <c r="I111" s="61">
        <v>190</v>
      </c>
      <c r="J111" s="145">
        <v>176</v>
      </c>
      <c r="K111" s="145"/>
      <c r="L111" s="62"/>
      <c r="M111" s="60">
        <v>12</v>
      </c>
      <c r="N111" s="61">
        <v>34</v>
      </c>
      <c r="O111" s="145">
        <v>61</v>
      </c>
      <c r="P111" s="145"/>
      <c r="Q111" s="62"/>
      <c r="R111" s="60">
        <v>0</v>
      </c>
      <c r="S111" s="61">
        <v>0</v>
      </c>
      <c r="T111" s="61">
        <v>0</v>
      </c>
      <c r="U111" s="61">
        <v>0</v>
      </c>
      <c r="V111" s="145">
        <v>5</v>
      </c>
      <c r="W111" s="145"/>
      <c r="X111" s="62"/>
      <c r="Y111" s="60"/>
      <c r="Z111" s="61"/>
      <c r="AA111" s="61">
        <v>27.76</v>
      </c>
      <c r="AB111" s="61">
        <v>27.76</v>
      </c>
      <c r="AC111" s="61">
        <v>36.32</v>
      </c>
      <c r="AD111" s="61"/>
      <c r="AE111" s="61"/>
      <c r="AF111" s="61"/>
      <c r="AG111" s="62"/>
      <c r="AH111" s="270">
        <v>43969</v>
      </c>
      <c r="AI111" s="65">
        <v>42985</v>
      </c>
      <c r="AJ111" s="65">
        <v>32887</v>
      </c>
      <c r="AK111" s="65">
        <v>52119</v>
      </c>
      <c r="AL111" s="196">
        <v>58981</v>
      </c>
      <c r="AM111" s="196"/>
      <c r="AN111" s="66"/>
      <c r="AO111" s="270">
        <v>4628</v>
      </c>
      <c r="AP111" s="65">
        <v>4729</v>
      </c>
      <c r="AQ111" s="65">
        <v>668</v>
      </c>
      <c r="AR111" s="65">
        <v>7238</v>
      </c>
      <c r="AS111" s="196">
        <v>12976</v>
      </c>
      <c r="AT111" s="196"/>
      <c r="AU111" s="66"/>
      <c r="AV111" s="276">
        <f t="shared" ref="AV111:AV119" si="214">AO111/AH111</f>
        <v>0.10525597580113262</v>
      </c>
      <c r="AW111" s="67">
        <f t="shared" ref="AW111:AW119" si="215">AP111/AI111</f>
        <v>0.11001512155403048</v>
      </c>
      <c r="AX111" s="67">
        <f t="shared" ref="AX111:AX119" si="216">AQ111/AJ111</f>
        <v>2.0311977377079089E-2</v>
      </c>
      <c r="AY111" s="67">
        <f t="shared" ref="AY111:AY119" si="217">AR111/AK111</f>
        <v>0.1388744987432606</v>
      </c>
      <c r="AZ111" s="190">
        <f t="shared" ref="AZ111:AZ119" si="218">AS111/AL111</f>
        <v>0.22000305183025043</v>
      </c>
      <c r="BA111" s="190"/>
      <c r="BB111" s="190"/>
      <c r="BC111" s="276" t="s">
        <v>226</v>
      </c>
      <c r="BD111" s="69">
        <f t="shared" si="212"/>
        <v>0.47591457528978615</v>
      </c>
      <c r="BE111" s="69">
        <f t="shared" si="212"/>
        <v>-8.494399842405354</v>
      </c>
      <c r="BF111" s="69">
        <f t="shared" si="212"/>
        <v>3.3618522942127984</v>
      </c>
      <c r="BG111" s="199">
        <f t="shared" si="212"/>
        <v>11.474707602911781</v>
      </c>
      <c r="BH111" s="199"/>
      <c r="BI111" s="70"/>
      <c r="BJ111" s="60" t="s">
        <v>226</v>
      </c>
      <c r="BK111" s="71">
        <f t="shared" si="213"/>
        <v>0.47591457528978615</v>
      </c>
      <c r="BL111" s="71">
        <f t="shared" si="213"/>
        <v>-8.970314417695139</v>
      </c>
      <c r="BM111" s="71">
        <f t="shared" si="213"/>
        <v>11.856252136618153</v>
      </c>
      <c r="BN111" s="200">
        <f t="shared" si="213"/>
        <v>8.1128553086989825</v>
      </c>
      <c r="BO111" s="200"/>
      <c r="BP111" s="200"/>
      <c r="BQ111" s="276">
        <f t="shared" ref="BQ111:BQ119" si="219">T111/M111</f>
        <v>0</v>
      </c>
      <c r="BR111" s="67">
        <f t="shared" ref="BR111:BR119" si="220">U111/N111</f>
        <v>0</v>
      </c>
      <c r="BS111" s="67">
        <f t="shared" ref="BS111:BS117" si="221">V111/O111</f>
        <v>8.1967213114754092E-2</v>
      </c>
      <c r="BT111" s="67"/>
      <c r="BU111" s="68"/>
      <c r="BV111" s="175"/>
      <c r="BW111" s="73"/>
    </row>
    <row r="112" spans="1:75" x14ac:dyDescent="0.25">
      <c r="A112" s="13">
        <v>96</v>
      </c>
      <c r="B112" s="59" t="s">
        <v>242</v>
      </c>
      <c r="C112" s="60">
        <v>8</v>
      </c>
      <c r="D112" s="61">
        <v>10</v>
      </c>
      <c r="E112" s="145">
        <v>9</v>
      </c>
      <c r="F112" s="145"/>
      <c r="G112" s="62"/>
      <c r="H112" s="60">
        <v>124</v>
      </c>
      <c r="I112" s="61">
        <v>124</v>
      </c>
      <c r="J112" s="145">
        <v>124</v>
      </c>
      <c r="K112" s="145"/>
      <c r="L112" s="62"/>
      <c r="M112" s="60">
        <v>18</v>
      </c>
      <c r="N112" s="61">
        <v>21</v>
      </c>
      <c r="O112" s="145">
        <v>38</v>
      </c>
      <c r="P112" s="145"/>
      <c r="Q112" s="62"/>
      <c r="R112" s="60">
        <v>0</v>
      </c>
      <c r="S112" s="61">
        <v>0</v>
      </c>
      <c r="T112" s="61">
        <v>1</v>
      </c>
      <c r="U112" s="61">
        <v>0</v>
      </c>
      <c r="V112" s="145">
        <v>0</v>
      </c>
      <c r="W112" s="145"/>
      <c r="X112" s="62"/>
      <c r="Y112" s="60">
        <v>23.55</v>
      </c>
      <c r="Z112" s="61">
        <v>23.55</v>
      </c>
      <c r="AA112" s="63">
        <f>(AB112+Z112)/2</f>
        <v>26.685000000000002</v>
      </c>
      <c r="AB112" s="61">
        <v>29.82</v>
      </c>
      <c r="AC112" s="61">
        <v>29.82</v>
      </c>
      <c r="AD112" s="61"/>
      <c r="AE112" s="61"/>
      <c r="AF112" s="61"/>
      <c r="AG112" s="62"/>
      <c r="AH112" s="270">
        <v>18552</v>
      </c>
      <c r="AI112" s="65">
        <v>19980</v>
      </c>
      <c r="AJ112" s="65">
        <v>19823</v>
      </c>
      <c r="AK112" s="65">
        <v>31905</v>
      </c>
      <c r="AL112" s="196">
        <v>34437</v>
      </c>
      <c r="AM112" s="196"/>
      <c r="AN112" s="66"/>
      <c r="AO112" s="270">
        <v>2454</v>
      </c>
      <c r="AP112" s="65">
        <v>2546</v>
      </c>
      <c r="AQ112" s="65">
        <v>2491</v>
      </c>
      <c r="AR112" s="65">
        <v>4586</v>
      </c>
      <c r="AS112" s="196">
        <v>8279</v>
      </c>
      <c r="AT112" s="196"/>
      <c r="AU112" s="66"/>
      <c r="AV112" s="276">
        <f t="shared" si="214"/>
        <v>0.13227684346701166</v>
      </c>
      <c r="AW112" s="67">
        <f t="shared" si="215"/>
        <v>0.12742742742742744</v>
      </c>
      <c r="AX112" s="67">
        <f t="shared" si="216"/>
        <v>0.12566210967058467</v>
      </c>
      <c r="AY112" s="67">
        <f t="shared" si="217"/>
        <v>0.14373922582667292</v>
      </c>
      <c r="AZ112" s="190">
        <f t="shared" si="218"/>
        <v>0.24041002410198334</v>
      </c>
      <c r="BA112" s="190"/>
      <c r="BB112" s="190"/>
      <c r="BC112" s="276" t="s">
        <v>226</v>
      </c>
      <c r="BD112" s="69">
        <f t="shared" si="212"/>
        <v>-0.48494160395842201</v>
      </c>
      <c r="BE112" s="69">
        <f t="shared" si="212"/>
        <v>-0.66147337964269914</v>
      </c>
      <c r="BF112" s="69">
        <f t="shared" si="212"/>
        <v>1.1462382359661265</v>
      </c>
      <c r="BG112" s="199">
        <f t="shared" si="212"/>
        <v>10.813318063497167</v>
      </c>
      <c r="BH112" s="199"/>
      <c r="BI112" s="70"/>
      <c r="BJ112" s="60" t="s">
        <v>226</v>
      </c>
      <c r="BK112" s="71">
        <f t="shared" si="213"/>
        <v>-0.48494160395842201</v>
      </c>
      <c r="BL112" s="71">
        <f t="shared" si="213"/>
        <v>-0.17653177568427714</v>
      </c>
      <c r="BM112" s="71">
        <f t="shared" si="213"/>
        <v>1.8077116156088258</v>
      </c>
      <c r="BN112" s="200">
        <f t="shared" si="213"/>
        <v>9.6670798275310421</v>
      </c>
      <c r="BO112" s="200"/>
      <c r="BP112" s="200"/>
      <c r="BQ112" s="276">
        <f t="shared" si="219"/>
        <v>5.5555555555555552E-2</v>
      </c>
      <c r="BR112" s="67">
        <f t="shared" si="220"/>
        <v>0</v>
      </c>
      <c r="BS112" s="67">
        <f t="shared" si="221"/>
        <v>0</v>
      </c>
      <c r="BT112" s="67"/>
      <c r="BU112" s="68"/>
      <c r="BV112" s="175"/>
      <c r="BW112" s="73"/>
    </row>
    <row r="113" spans="1:75" x14ac:dyDescent="0.25">
      <c r="A113" s="13">
        <v>96</v>
      </c>
      <c r="B113" s="59" t="s">
        <v>243</v>
      </c>
      <c r="C113" s="60">
        <v>9</v>
      </c>
      <c r="D113" s="61">
        <v>9</v>
      </c>
      <c r="E113" s="145">
        <v>9</v>
      </c>
      <c r="F113" s="145"/>
      <c r="G113" s="62"/>
      <c r="H113" s="60">
        <v>208</v>
      </c>
      <c r="I113" s="61">
        <v>204</v>
      </c>
      <c r="J113" s="145">
        <v>198</v>
      </c>
      <c r="K113" s="145"/>
      <c r="L113" s="62"/>
      <c r="M113" s="60">
        <v>26</v>
      </c>
      <c r="N113" s="61">
        <v>54</v>
      </c>
      <c r="O113" s="145">
        <v>74</v>
      </c>
      <c r="P113" s="145"/>
      <c r="Q113" s="62"/>
      <c r="R113" s="60">
        <v>0</v>
      </c>
      <c r="S113" s="61">
        <v>0</v>
      </c>
      <c r="T113" s="61">
        <v>0</v>
      </c>
      <c r="U113" s="61">
        <v>0</v>
      </c>
      <c r="V113" s="145">
        <v>0</v>
      </c>
      <c r="W113" s="145"/>
      <c r="X113" s="62"/>
      <c r="Y113" s="60" t="s">
        <v>244</v>
      </c>
      <c r="Z113" s="61" t="s">
        <v>244</v>
      </c>
      <c r="AA113" s="63" t="s">
        <v>244</v>
      </c>
      <c r="AB113" s="61">
        <v>29.82</v>
      </c>
      <c r="AC113" s="61">
        <v>29.82</v>
      </c>
      <c r="AD113" s="61"/>
      <c r="AE113" s="61"/>
      <c r="AF113" s="61"/>
      <c r="AG113" s="62"/>
      <c r="AH113" s="270">
        <v>47523</v>
      </c>
      <c r="AI113" s="65">
        <v>49852</v>
      </c>
      <c r="AJ113" s="65">
        <v>55712</v>
      </c>
      <c r="AK113" s="65">
        <v>58519</v>
      </c>
      <c r="AL113" s="196">
        <v>53190</v>
      </c>
      <c r="AM113" s="196"/>
      <c r="AN113" s="66"/>
      <c r="AO113" s="270">
        <v>5421</v>
      </c>
      <c r="AP113" s="65">
        <v>4521</v>
      </c>
      <c r="AQ113" s="65">
        <v>6541</v>
      </c>
      <c r="AR113" s="65">
        <v>14192</v>
      </c>
      <c r="AS113" s="196">
        <v>17020</v>
      </c>
      <c r="AT113" s="196"/>
      <c r="AU113" s="66"/>
      <c r="AV113" s="276">
        <f t="shared" si="214"/>
        <v>0.11407108137112557</v>
      </c>
      <c r="AW113" s="67">
        <f t="shared" si="215"/>
        <v>9.0688437775816422E-2</v>
      </c>
      <c r="AX113" s="67">
        <f t="shared" si="216"/>
        <v>0.1174073808156232</v>
      </c>
      <c r="AY113" s="67">
        <f t="shared" si="217"/>
        <v>0.24251952357354023</v>
      </c>
      <c r="AZ113" s="190">
        <f t="shared" si="218"/>
        <v>0.31998495957886819</v>
      </c>
      <c r="BA113" s="190"/>
      <c r="BB113" s="190"/>
      <c r="BC113" s="276" t="s">
        <v>226</v>
      </c>
      <c r="BD113" s="69">
        <f t="shared" si="212"/>
        <v>-2.3382643595309145</v>
      </c>
      <c r="BE113" s="69">
        <f t="shared" si="212"/>
        <v>0.3336299444497634</v>
      </c>
      <c r="BF113" s="69">
        <f t="shared" si="212"/>
        <v>12.844844220241466</v>
      </c>
      <c r="BG113" s="199">
        <f t="shared" si="212"/>
        <v>20.591387820774262</v>
      </c>
      <c r="BH113" s="199"/>
      <c r="BI113" s="70"/>
      <c r="BJ113" s="60" t="s">
        <v>226</v>
      </c>
      <c r="BK113" s="71">
        <f t="shared" si="213"/>
        <v>-2.3382643595309145</v>
      </c>
      <c r="BL113" s="71">
        <f t="shared" si="213"/>
        <v>2.671894303980678</v>
      </c>
      <c r="BM113" s="71">
        <f t="shared" si="213"/>
        <v>12.511214275791705</v>
      </c>
      <c r="BN113" s="200">
        <f t="shared" si="213"/>
        <v>7.7465436005327959</v>
      </c>
      <c r="BO113" s="200"/>
      <c r="BP113" s="200"/>
      <c r="BQ113" s="276">
        <f t="shared" si="219"/>
        <v>0</v>
      </c>
      <c r="BR113" s="67">
        <f t="shared" si="220"/>
        <v>0</v>
      </c>
      <c r="BS113" s="67">
        <f t="shared" si="221"/>
        <v>0</v>
      </c>
      <c r="BT113" s="67"/>
      <c r="BU113" s="68"/>
      <c r="BV113" s="175"/>
      <c r="BW113" s="73"/>
    </row>
    <row r="114" spans="1:75" x14ac:dyDescent="0.25">
      <c r="A114" s="13">
        <v>96</v>
      </c>
      <c r="B114" s="59" t="s">
        <v>246</v>
      </c>
      <c r="C114" s="60">
        <v>5</v>
      </c>
      <c r="D114" s="61">
        <v>5</v>
      </c>
      <c r="E114" s="145">
        <v>5</v>
      </c>
      <c r="F114" s="145"/>
      <c r="G114" s="62"/>
      <c r="H114" s="60">
        <v>164</v>
      </c>
      <c r="I114" s="61">
        <v>156</v>
      </c>
      <c r="J114" s="145">
        <v>156</v>
      </c>
      <c r="K114" s="145"/>
      <c r="L114" s="62"/>
      <c r="M114" s="60">
        <v>8</v>
      </c>
      <c r="N114" s="61">
        <v>18</v>
      </c>
      <c r="O114" s="145">
        <v>24</v>
      </c>
      <c r="P114" s="145"/>
      <c r="Q114" s="62"/>
      <c r="R114" s="60">
        <v>3</v>
      </c>
      <c r="S114" s="61">
        <v>4</v>
      </c>
      <c r="T114" s="61">
        <v>4</v>
      </c>
      <c r="U114" s="61">
        <v>2</v>
      </c>
      <c r="V114" s="145">
        <v>0</v>
      </c>
      <c r="W114" s="145"/>
      <c r="X114" s="62"/>
      <c r="Y114" s="60"/>
      <c r="Z114" s="61">
        <v>23.95</v>
      </c>
      <c r="AA114" s="63">
        <v>23.95</v>
      </c>
      <c r="AB114" s="61">
        <v>23.95</v>
      </c>
      <c r="AC114" s="61">
        <v>23.95</v>
      </c>
      <c r="AD114" s="61"/>
      <c r="AE114" s="61"/>
      <c r="AF114" s="61"/>
      <c r="AG114" s="62"/>
      <c r="AH114" s="270">
        <v>41064</v>
      </c>
      <c r="AI114" s="65">
        <v>45284</v>
      </c>
      <c r="AJ114" s="65">
        <v>59427</v>
      </c>
      <c r="AK114" s="65">
        <v>61498</v>
      </c>
      <c r="AL114" s="196">
        <v>57114</v>
      </c>
      <c r="AM114" s="196"/>
      <c r="AN114" s="66"/>
      <c r="AO114" s="270">
        <v>572</v>
      </c>
      <c r="AP114" s="65">
        <v>965</v>
      </c>
      <c r="AQ114" s="65">
        <v>915</v>
      </c>
      <c r="AR114" s="65">
        <v>5266</v>
      </c>
      <c r="AS114" s="196">
        <v>6691</v>
      </c>
      <c r="AT114" s="196"/>
      <c r="AU114" s="66"/>
      <c r="AV114" s="276">
        <f t="shared" si="214"/>
        <v>1.3929475939996104E-2</v>
      </c>
      <c r="AW114" s="67">
        <f t="shared" si="215"/>
        <v>2.1309954950976061E-2</v>
      </c>
      <c r="AX114" s="67">
        <f t="shared" si="216"/>
        <v>1.5397041748700087E-2</v>
      </c>
      <c r="AY114" s="67">
        <f t="shared" si="217"/>
        <v>8.5628800936615831E-2</v>
      </c>
      <c r="AZ114" s="190">
        <f t="shared" si="218"/>
        <v>0.11715166158910249</v>
      </c>
      <c r="BA114" s="190"/>
      <c r="BB114" s="190"/>
      <c r="BC114" s="276" t="s">
        <v>226</v>
      </c>
      <c r="BD114" s="69">
        <f t="shared" si="212"/>
        <v>0.73804790109799567</v>
      </c>
      <c r="BE114" s="69">
        <f t="shared" si="212"/>
        <v>0.14675658087039828</v>
      </c>
      <c r="BF114" s="69">
        <f t="shared" si="212"/>
        <v>7.1699324996619724</v>
      </c>
      <c r="BG114" s="199">
        <f t="shared" si="212"/>
        <v>10.322218564910639</v>
      </c>
      <c r="BH114" s="199"/>
      <c r="BI114" s="70"/>
      <c r="BJ114" s="60" t="s">
        <v>226</v>
      </c>
      <c r="BK114" s="71">
        <f t="shared" si="213"/>
        <v>0.73804790109799567</v>
      </c>
      <c r="BL114" s="71">
        <f t="shared" si="213"/>
        <v>-0.59129132022759745</v>
      </c>
      <c r="BM114" s="71">
        <f t="shared" si="213"/>
        <v>7.0231759187915745</v>
      </c>
      <c r="BN114" s="200">
        <f t="shared" si="213"/>
        <v>3.1522860652486662</v>
      </c>
      <c r="BO114" s="200"/>
      <c r="BP114" s="200"/>
      <c r="BQ114" s="276">
        <f t="shared" si="219"/>
        <v>0.5</v>
      </c>
      <c r="BR114" s="67">
        <f t="shared" si="220"/>
        <v>0.1111111111111111</v>
      </c>
      <c r="BS114" s="67">
        <f t="shared" si="221"/>
        <v>0</v>
      </c>
      <c r="BT114" s="67"/>
      <c r="BU114" s="68"/>
      <c r="BV114" s="175"/>
      <c r="BW114" s="73"/>
    </row>
    <row r="115" spans="1:75" x14ac:dyDescent="0.25">
      <c r="A115" s="13">
        <v>96</v>
      </c>
      <c r="B115" s="59" t="s">
        <v>248</v>
      </c>
      <c r="C115" s="60">
        <v>8</v>
      </c>
      <c r="D115" s="61">
        <v>8</v>
      </c>
      <c r="E115" s="145">
        <v>8</v>
      </c>
      <c r="F115" s="145"/>
      <c r="G115" s="62"/>
      <c r="H115" s="60">
        <v>244</v>
      </c>
      <c r="I115" s="61">
        <v>244</v>
      </c>
      <c r="J115" s="145">
        <v>244</v>
      </c>
      <c r="K115" s="145"/>
      <c r="L115" s="62"/>
      <c r="M115" s="60">
        <v>29</v>
      </c>
      <c r="N115" s="61">
        <v>38</v>
      </c>
      <c r="O115" s="145">
        <v>46</v>
      </c>
      <c r="P115" s="145"/>
      <c r="Q115" s="62"/>
      <c r="R115" s="60">
        <v>1</v>
      </c>
      <c r="S115" s="61">
        <v>0</v>
      </c>
      <c r="T115" s="61">
        <v>0</v>
      </c>
      <c r="U115" s="61">
        <v>4</v>
      </c>
      <c r="V115" s="145">
        <v>1</v>
      </c>
      <c r="W115" s="145"/>
      <c r="X115" s="62"/>
      <c r="Y115" s="60">
        <v>19.809999999999999</v>
      </c>
      <c r="Z115" s="61">
        <v>19.809999999999999</v>
      </c>
      <c r="AA115" s="63">
        <v>19.809999999999999</v>
      </c>
      <c r="AB115" s="61">
        <v>19.809999999999999</v>
      </c>
      <c r="AC115" s="61">
        <v>19.809999999999999</v>
      </c>
      <c r="AD115" s="61"/>
      <c r="AE115" s="61"/>
      <c r="AF115" s="61"/>
      <c r="AG115" s="62"/>
      <c r="AH115" s="270">
        <v>34516</v>
      </c>
      <c r="AI115" s="65">
        <v>37826</v>
      </c>
      <c r="AJ115" s="65">
        <v>35750</v>
      </c>
      <c r="AK115" s="65">
        <v>41009</v>
      </c>
      <c r="AL115" s="196">
        <v>40005</v>
      </c>
      <c r="AM115" s="196"/>
      <c r="AN115" s="66"/>
      <c r="AO115" s="270">
        <v>4088</v>
      </c>
      <c r="AP115" s="65">
        <v>4018</v>
      </c>
      <c r="AQ115" s="65">
        <v>4207</v>
      </c>
      <c r="AR115" s="65">
        <v>6902</v>
      </c>
      <c r="AS115" s="196">
        <v>12418</v>
      </c>
      <c r="AT115" s="196"/>
      <c r="AU115" s="66"/>
      <c r="AV115" s="276">
        <f t="shared" si="214"/>
        <v>0.11843782593579789</v>
      </c>
      <c r="AW115" s="67">
        <f t="shared" si="215"/>
        <v>0.10622323269708665</v>
      </c>
      <c r="AX115" s="67">
        <f t="shared" si="216"/>
        <v>0.11767832167832168</v>
      </c>
      <c r="AY115" s="67">
        <f t="shared" si="217"/>
        <v>0.1683045185203248</v>
      </c>
      <c r="AZ115" s="190">
        <f t="shared" si="218"/>
        <v>0.31041119860017496</v>
      </c>
      <c r="BA115" s="190"/>
      <c r="BB115" s="190"/>
      <c r="BC115" s="276" t="s">
        <v>226</v>
      </c>
      <c r="BD115" s="69">
        <f t="shared" si="212"/>
        <v>-1.221459323871124</v>
      </c>
      <c r="BE115" s="69">
        <f t="shared" si="212"/>
        <v>-7.5950425747621508E-2</v>
      </c>
      <c r="BF115" s="69">
        <f t="shared" si="212"/>
        <v>4.9866692584526904</v>
      </c>
      <c r="BG115" s="199">
        <f t="shared" si="212"/>
        <v>19.197337266437707</v>
      </c>
      <c r="BH115" s="199"/>
      <c r="BI115" s="70"/>
      <c r="BJ115" s="60" t="s">
        <v>226</v>
      </c>
      <c r="BK115" s="71">
        <f t="shared" si="213"/>
        <v>-1.221459323871124</v>
      </c>
      <c r="BL115" s="71">
        <f t="shared" si="213"/>
        <v>1.1455088981235027</v>
      </c>
      <c r="BM115" s="71">
        <f t="shared" si="213"/>
        <v>5.0626196842003122</v>
      </c>
      <c r="BN115" s="200">
        <f t="shared" si="213"/>
        <v>14.210668007985017</v>
      </c>
      <c r="BO115" s="200"/>
      <c r="BP115" s="200"/>
      <c r="BQ115" s="276">
        <f t="shared" si="219"/>
        <v>0</v>
      </c>
      <c r="BR115" s="67">
        <f t="shared" si="220"/>
        <v>0.10526315789473684</v>
      </c>
      <c r="BS115" s="67">
        <f t="shared" si="221"/>
        <v>2.1739130434782608E-2</v>
      </c>
      <c r="BT115" s="67"/>
      <c r="BU115" s="68"/>
      <c r="BV115" s="175"/>
      <c r="BW115" s="73"/>
    </row>
    <row r="116" spans="1:75" x14ac:dyDescent="0.25">
      <c r="A116" s="13">
        <v>96</v>
      </c>
      <c r="B116" s="59" t="s">
        <v>249</v>
      </c>
      <c r="C116" s="60">
        <v>0</v>
      </c>
      <c r="D116" s="61">
        <v>0</v>
      </c>
      <c r="E116" s="145">
        <v>0</v>
      </c>
      <c r="F116" s="145"/>
      <c r="G116" s="62"/>
      <c r="H116" s="60">
        <v>159</v>
      </c>
      <c r="I116" s="61">
        <v>159</v>
      </c>
      <c r="J116" s="145">
        <v>159</v>
      </c>
      <c r="K116" s="145"/>
      <c r="L116" s="62"/>
      <c r="M116" s="60">
        <v>40</v>
      </c>
      <c r="N116" s="61">
        <v>62</v>
      </c>
      <c r="O116" s="145">
        <v>73</v>
      </c>
      <c r="P116" s="145"/>
      <c r="Q116" s="62"/>
      <c r="R116" s="60">
        <v>0</v>
      </c>
      <c r="S116" s="61">
        <v>0</v>
      </c>
      <c r="T116" s="61">
        <v>0</v>
      </c>
      <c r="U116" s="61">
        <v>0</v>
      </c>
      <c r="V116" s="145">
        <v>0</v>
      </c>
      <c r="W116" s="145"/>
      <c r="X116" s="62"/>
      <c r="Y116" s="60">
        <v>27.39</v>
      </c>
      <c r="Z116" s="61">
        <v>27.39</v>
      </c>
      <c r="AA116" s="63">
        <v>27.39</v>
      </c>
      <c r="AB116" s="61">
        <v>27.39</v>
      </c>
      <c r="AC116" s="61">
        <v>27.39</v>
      </c>
      <c r="AD116" s="61"/>
      <c r="AE116" s="61"/>
      <c r="AF116" s="61"/>
      <c r="AG116" s="62"/>
      <c r="AH116" s="270">
        <v>26507</v>
      </c>
      <c r="AI116" s="65">
        <v>24724</v>
      </c>
      <c r="AJ116" s="65">
        <v>31791</v>
      </c>
      <c r="AK116" s="65">
        <v>38009</v>
      </c>
      <c r="AL116" s="196">
        <v>34819</v>
      </c>
      <c r="AM116" s="196"/>
      <c r="AN116" s="66"/>
      <c r="AO116" s="270">
        <v>8696</v>
      </c>
      <c r="AP116" s="65">
        <v>8741</v>
      </c>
      <c r="AQ116" s="65">
        <v>8164</v>
      </c>
      <c r="AR116" s="65">
        <v>16590</v>
      </c>
      <c r="AS116" s="196">
        <v>21904</v>
      </c>
      <c r="AT116" s="196"/>
      <c r="AU116" s="66"/>
      <c r="AV116" s="276">
        <f t="shared" si="214"/>
        <v>0.32806428490587392</v>
      </c>
      <c r="AW116" s="67">
        <f t="shared" si="215"/>
        <v>0.35354311600064714</v>
      </c>
      <c r="AX116" s="67">
        <f t="shared" si="216"/>
        <v>0.25680223962756754</v>
      </c>
      <c r="AY116" s="67">
        <f t="shared" si="217"/>
        <v>0.43647557157515326</v>
      </c>
      <c r="AZ116" s="190">
        <f t="shared" si="218"/>
        <v>0.62908182314253713</v>
      </c>
      <c r="BA116" s="190"/>
      <c r="BB116" s="190"/>
      <c r="BC116" s="276" t="s">
        <v>226</v>
      </c>
      <c r="BD116" s="69">
        <f t="shared" si="212"/>
        <v>2.5478831094773224</v>
      </c>
      <c r="BE116" s="69">
        <f t="shared" si="212"/>
        <v>-7.1262045278306374</v>
      </c>
      <c r="BF116" s="69">
        <f t="shared" si="212"/>
        <v>10.841128666927935</v>
      </c>
      <c r="BG116" s="199">
        <f t="shared" si="212"/>
        <v>30.101753823666321</v>
      </c>
      <c r="BH116" s="199"/>
      <c r="BI116" s="70"/>
      <c r="BJ116" s="60" t="s">
        <v>226</v>
      </c>
      <c r="BK116" s="71">
        <f t="shared" si="213"/>
        <v>2.5478831094773224</v>
      </c>
      <c r="BL116" s="71">
        <f t="shared" si="213"/>
        <v>-9.6740876373079594</v>
      </c>
      <c r="BM116" s="71">
        <f t="shared" si="213"/>
        <v>17.967333194758574</v>
      </c>
      <c r="BN116" s="200">
        <f t="shared" si="213"/>
        <v>19.260625156738385</v>
      </c>
      <c r="BO116" s="200"/>
      <c r="BP116" s="200"/>
      <c r="BQ116" s="276">
        <f t="shared" si="219"/>
        <v>0</v>
      </c>
      <c r="BR116" s="67">
        <f t="shared" si="220"/>
        <v>0</v>
      </c>
      <c r="BS116" s="67">
        <f t="shared" si="221"/>
        <v>0</v>
      </c>
      <c r="BT116" s="67"/>
      <c r="BU116" s="68"/>
      <c r="BV116" s="175"/>
      <c r="BW116" s="73"/>
    </row>
    <row r="117" spans="1:75" x14ac:dyDescent="0.25">
      <c r="A117" s="13">
        <v>96</v>
      </c>
      <c r="B117" s="59" t="s">
        <v>250</v>
      </c>
      <c r="C117" s="60">
        <v>0</v>
      </c>
      <c r="D117" s="61">
        <v>0</v>
      </c>
      <c r="E117" s="145">
        <v>0</v>
      </c>
      <c r="F117" s="145"/>
      <c r="G117" s="62"/>
      <c r="H117" s="60">
        <v>111</v>
      </c>
      <c r="I117" s="61">
        <v>111</v>
      </c>
      <c r="J117" s="145">
        <v>111</v>
      </c>
      <c r="K117" s="145"/>
      <c r="L117" s="62"/>
      <c r="M117" s="60">
        <v>32</v>
      </c>
      <c r="N117" s="61">
        <v>35</v>
      </c>
      <c r="O117" s="145">
        <v>45</v>
      </c>
      <c r="P117" s="145"/>
      <c r="Q117" s="62"/>
      <c r="R117" s="60">
        <v>0</v>
      </c>
      <c r="S117" s="61">
        <v>0</v>
      </c>
      <c r="T117" s="61">
        <v>0</v>
      </c>
      <c r="U117" s="61">
        <v>0</v>
      </c>
      <c r="V117" s="145">
        <v>0</v>
      </c>
      <c r="W117" s="145"/>
      <c r="X117" s="62"/>
      <c r="Y117" s="60">
        <v>27.39</v>
      </c>
      <c r="Z117" s="61">
        <v>27.39</v>
      </c>
      <c r="AA117" s="63">
        <v>27.39</v>
      </c>
      <c r="AB117" s="61">
        <v>27.39</v>
      </c>
      <c r="AC117" s="61">
        <v>27.39</v>
      </c>
      <c r="AD117" s="61"/>
      <c r="AE117" s="61"/>
      <c r="AF117" s="61"/>
      <c r="AG117" s="62"/>
      <c r="AH117" s="270">
        <v>13039</v>
      </c>
      <c r="AI117" s="65">
        <v>13350</v>
      </c>
      <c r="AJ117" s="65">
        <v>16967</v>
      </c>
      <c r="AK117" s="65">
        <v>18615</v>
      </c>
      <c r="AL117" s="196">
        <v>17787</v>
      </c>
      <c r="AM117" s="196"/>
      <c r="AN117" s="66"/>
      <c r="AO117" s="270">
        <v>4462</v>
      </c>
      <c r="AP117" s="65">
        <v>3442</v>
      </c>
      <c r="AQ117" s="65">
        <v>4763</v>
      </c>
      <c r="AR117" s="65">
        <v>7407</v>
      </c>
      <c r="AS117" s="196">
        <v>11121</v>
      </c>
      <c r="AT117" s="196"/>
      <c r="AU117" s="66"/>
      <c r="AV117" s="276">
        <f t="shared" si="214"/>
        <v>0.34220415676048777</v>
      </c>
      <c r="AW117" s="67">
        <f t="shared" si="215"/>
        <v>0.25782771535580523</v>
      </c>
      <c r="AX117" s="67">
        <f t="shared" si="216"/>
        <v>0.28072140036541521</v>
      </c>
      <c r="AY117" s="67">
        <f t="shared" si="217"/>
        <v>0.39790491539081385</v>
      </c>
      <c r="AZ117" s="190">
        <f t="shared" si="218"/>
        <v>0.62523191094619668</v>
      </c>
      <c r="BA117" s="190"/>
      <c r="BB117" s="190"/>
      <c r="BC117" s="276" t="s">
        <v>226</v>
      </c>
      <c r="BD117" s="69">
        <f t="shared" si="212"/>
        <v>-8.4376441404682527</v>
      </c>
      <c r="BE117" s="69">
        <f t="shared" si="212"/>
        <v>-6.148275639507256</v>
      </c>
      <c r="BF117" s="69">
        <f t="shared" si="212"/>
        <v>5.5700758630326082</v>
      </c>
      <c r="BG117" s="199">
        <f t="shared" si="212"/>
        <v>28.302775418570892</v>
      </c>
      <c r="BH117" s="199"/>
      <c r="BI117" s="70"/>
      <c r="BJ117" s="60" t="s">
        <v>226</v>
      </c>
      <c r="BK117" s="71">
        <f t="shared" si="213"/>
        <v>-8.4376441404682527</v>
      </c>
      <c r="BL117" s="71">
        <f t="shared" si="213"/>
        <v>2.2893685009609976</v>
      </c>
      <c r="BM117" s="71">
        <f t="shared" si="213"/>
        <v>11.718351502539864</v>
      </c>
      <c r="BN117" s="200">
        <f t="shared" si="213"/>
        <v>22.732699555538282</v>
      </c>
      <c r="BO117" s="200"/>
      <c r="BP117" s="200"/>
      <c r="BQ117" s="276">
        <f t="shared" si="219"/>
        <v>0</v>
      </c>
      <c r="BR117" s="67">
        <f t="shared" si="220"/>
        <v>0</v>
      </c>
      <c r="BS117" s="67">
        <f t="shared" si="221"/>
        <v>0</v>
      </c>
      <c r="BT117" s="67"/>
      <c r="BU117" s="68"/>
      <c r="BV117" s="175"/>
      <c r="BW117" s="73"/>
    </row>
    <row r="118" spans="1:75" x14ac:dyDescent="0.25">
      <c r="A118" s="13">
        <v>96</v>
      </c>
      <c r="B118" s="59" t="s">
        <v>366</v>
      </c>
      <c r="C118" s="60"/>
      <c r="D118" s="61"/>
      <c r="E118" s="61"/>
      <c r="F118" s="145">
        <v>1</v>
      </c>
      <c r="G118" s="62"/>
      <c r="H118" s="60"/>
      <c r="I118" s="61"/>
      <c r="J118" s="61"/>
      <c r="K118" s="145">
        <v>189</v>
      </c>
      <c r="L118" s="62"/>
      <c r="M118" s="60"/>
      <c r="N118" s="61"/>
      <c r="O118" s="61"/>
      <c r="P118" s="145">
        <v>65</v>
      </c>
      <c r="Q118" s="62"/>
      <c r="R118" s="60"/>
      <c r="S118" s="61"/>
      <c r="T118" s="61"/>
      <c r="U118" s="61"/>
      <c r="V118" s="61"/>
      <c r="W118" s="145">
        <v>7</v>
      </c>
      <c r="X118" s="62"/>
      <c r="Y118" s="60"/>
      <c r="Z118" s="61"/>
      <c r="AA118" s="63"/>
      <c r="AB118" s="145"/>
      <c r="AC118" s="61"/>
      <c r="AD118" s="61"/>
      <c r="AE118" s="61"/>
      <c r="AF118" s="63">
        <v>27.16</v>
      </c>
      <c r="AG118" s="64"/>
      <c r="AH118" s="270"/>
      <c r="AI118" s="65"/>
      <c r="AJ118" s="65"/>
      <c r="AK118" s="65"/>
      <c r="AL118" s="65"/>
      <c r="AM118" s="196">
        <v>68750.69</v>
      </c>
      <c r="AN118" s="66"/>
      <c r="AO118" s="270"/>
      <c r="AP118" s="65"/>
      <c r="AQ118" s="65"/>
      <c r="AR118" s="65"/>
      <c r="AS118" s="65"/>
      <c r="AT118" s="196">
        <v>9290.66</v>
      </c>
      <c r="AU118" s="66"/>
      <c r="AV118" s="276"/>
      <c r="AW118" s="67"/>
      <c r="AX118" s="67"/>
      <c r="AY118" s="67"/>
      <c r="AZ118" s="67"/>
      <c r="BA118" s="190">
        <v>0.14000000000000001</v>
      </c>
      <c r="BB118" s="190"/>
      <c r="BC118" s="276"/>
      <c r="BD118" s="69"/>
      <c r="BE118" s="69"/>
      <c r="BF118" s="69"/>
      <c r="BG118" s="69"/>
      <c r="BH118" s="199"/>
      <c r="BI118" s="70"/>
      <c r="BJ118" s="60"/>
      <c r="BK118" s="71"/>
      <c r="BL118" s="71"/>
      <c r="BM118" s="71"/>
      <c r="BN118" s="71"/>
      <c r="BO118" s="200"/>
      <c r="BP118" s="200"/>
      <c r="BQ118" s="276"/>
      <c r="BR118" s="67"/>
      <c r="BS118" s="67"/>
      <c r="BT118" s="67">
        <f t="shared" ref="BT118" si="222">W118/P118</f>
        <v>0.1076923076923077</v>
      </c>
      <c r="BU118" s="68"/>
      <c r="BV118" s="175"/>
      <c r="BW118" s="73"/>
    </row>
    <row r="119" spans="1:75" x14ac:dyDescent="0.25">
      <c r="A119" s="13">
        <v>96</v>
      </c>
      <c r="B119" s="59" t="s">
        <v>254</v>
      </c>
      <c r="C119" s="60">
        <v>6</v>
      </c>
      <c r="D119" s="61">
        <v>6</v>
      </c>
      <c r="E119" s="145">
        <v>6</v>
      </c>
      <c r="F119" s="145"/>
      <c r="G119" s="62"/>
      <c r="H119" s="60">
        <v>165</v>
      </c>
      <c r="I119" s="61">
        <v>165</v>
      </c>
      <c r="J119" s="145">
        <v>165</v>
      </c>
      <c r="K119" s="145"/>
      <c r="L119" s="62"/>
      <c r="M119" s="60">
        <v>34</v>
      </c>
      <c r="N119" s="61">
        <v>38</v>
      </c>
      <c r="O119" s="145">
        <v>59</v>
      </c>
      <c r="P119" s="145"/>
      <c r="Q119" s="62"/>
      <c r="R119" s="60">
        <v>0</v>
      </c>
      <c r="S119" s="61">
        <v>0</v>
      </c>
      <c r="T119" s="61">
        <v>0</v>
      </c>
      <c r="U119" s="61">
        <v>0</v>
      </c>
      <c r="V119" s="145">
        <v>0</v>
      </c>
      <c r="W119" s="145"/>
      <c r="X119" s="62"/>
      <c r="Y119" s="60">
        <v>35.03</v>
      </c>
      <c r="Z119" s="61">
        <v>35.03</v>
      </c>
      <c r="AA119" s="63">
        <v>35.03</v>
      </c>
      <c r="AB119" s="61">
        <v>35.03</v>
      </c>
      <c r="AC119" s="156">
        <v>35.03</v>
      </c>
      <c r="AD119" s="61"/>
      <c r="AE119" s="61"/>
      <c r="AF119" s="61"/>
      <c r="AG119" s="62"/>
      <c r="AH119" s="270">
        <v>36423</v>
      </c>
      <c r="AI119" s="65">
        <v>38742</v>
      </c>
      <c r="AJ119" s="65">
        <v>44203</v>
      </c>
      <c r="AK119" s="65">
        <v>47541</v>
      </c>
      <c r="AL119" s="196">
        <v>45208</v>
      </c>
      <c r="AM119" s="196"/>
      <c r="AN119" s="66"/>
      <c r="AO119" s="270">
        <v>4125</v>
      </c>
      <c r="AP119" s="65">
        <v>4521</v>
      </c>
      <c r="AQ119" s="65">
        <v>6452</v>
      </c>
      <c r="AR119" s="65">
        <v>7624</v>
      </c>
      <c r="AS119" s="196">
        <v>8137</v>
      </c>
      <c r="AT119" s="196"/>
      <c r="AU119" s="66"/>
      <c r="AV119" s="276">
        <f t="shared" si="214"/>
        <v>0.11325261510583971</v>
      </c>
      <c r="AW119" s="67">
        <f t="shared" si="215"/>
        <v>0.11669505962521294</v>
      </c>
      <c r="AX119" s="67">
        <f t="shared" si="216"/>
        <v>0.14596294369160465</v>
      </c>
      <c r="AY119" s="67">
        <f t="shared" si="217"/>
        <v>0.16036684125281336</v>
      </c>
      <c r="AZ119" s="190">
        <f t="shared" si="218"/>
        <v>0.17999026720934347</v>
      </c>
      <c r="BA119" s="190"/>
      <c r="BB119" s="190"/>
      <c r="BC119" s="276" t="s">
        <v>226</v>
      </c>
      <c r="BD119" s="69">
        <f>(AW119-$AV119)*100</f>
        <v>0.34424445193732278</v>
      </c>
      <c r="BE119" s="69">
        <f>(AX119-$AV119)*100</f>
        <v>3.2710328585764934</v>
      </c>
      <c r="BF119" s="69">
        <f>(AY119-$AV119)*100</f>
        <v>4.7114226146973648</v>
      </c>
      <c r="BG119" s="199">
        <f>(AZ119-$AV119)*100</f>
        <v>6.6737652103503757</v>
      </c>
      <c r="BH119" s="199"/>
      <c r="BI119" s="70"/>
      <c r="BJ119" s="60" t="s">
        <v>226</v>
      </c>
      <c r="BK119" s="71">
        <f>(AW119-AV119)*100</f>
        <v>0.34424445193732278</v>
      </c>
      <c r="BL119" s="71">
        <f>(AX119-AW119)*100</f>
        <v>2.9267884066391705</v>
      </c>
      <c r="BM119" s="71">
        <f>(AY119-AX119)*100</f>
        <v>1.4403897561208718</v>
      </c>
      <c r="BN119" s="200">
        <f>(AZ119-AY119)*100</f>
        <v>1.9623425956530105</v>
      </c>
      <c r="BO119" s="200"/>
      <c r="BP119" s="200"/>
      <c r="BQ119" s="276">
        <f t="shared" si="219"/>
        <v>0</v>
      </c>
      <c r="BR119" s="67">
        <f t="shared" si="220"/>
        <v>0</v>
      </c>
      <c r="BS119" s="67">
        <f>V119/O119</f>
        <v>0</v>
      </c>
      <c r="BT119" s="67"/>
      <c r="BU119" s="68"/>
      <c r="BV119" s="175"/>
      <c r="BW119" s="73"/>
    </row>
    <row r="120" spans="1:75" x14ac:dyDescent="0.25">
      <c r="A120" s="13">
        <v>96</v>
      </c>
      <c r="B120" s="59" t="s">
        <v>369</v>
      </c>
      <c r="C120" s="60"/>
      <c r="D120" s="61"/>
      <c r="E120" s="61"/>
      <c r="F120" s="145">
        <v>10</v>
      </c>
      <c r="G120" s="62"/>
      <c r="H120" s="60"/>
      <c r="I120" s="61"/>
      <c r="J120" s="61"/>
      <c r="K120" s="145">
        <v>130</v>
      </c>
      <c r="L120" s="62"/>
      <c r="M120" s="60"/>
      <c r="N120" s="61"/>
      <c r="O120" s="61"/>
      <c r="P120" s="145">
        <v>49</v>
      </c>
      <c r="Q120" s="62"/>
      <c r="R120" s="60"/>
      <c r="S120" s="61"/>
      <c r="T120" s="61"/>
      <c r="U120" s="61"/>
      <c r="V120" s="61"/>
      <c r="W120" s="145">
        <v>7</v>
      </c>
      <c r="X120" s="62"/>
      <c r="Y120" s="60"/>
      <c r="Z120" s="61"/>
      <c r="AA120" s="63"/>
      <c r="AB120" s="145"/>
      <c r="AC120" s="156"/>
      <c r="AD120" s="61"/>
      <c r="AE120" s="61"/>
      <c r="AF120" s="63"/>
      <c r="AG120" s="64"/>
      <c r="AH120" s="270"/>
      <c r="AI120" s="65"/>
      <c r="AJ120" s="65"/>
      <c r="AK120" s="65"/>
      <c r="AL120" s="65"/>
      <c r="AM120" s="196">
        <v>35014.400000000001</v>
      </c>
      <c r="AN120" s="66"/>
      <c r="AO120" s="270"/>
      <c r="AP120" s="65"/>
      <c r="AQ120" s="65"/>
      <c r="AR120" s="65"/>
      <c r="AS120" s="65"/>
      <c r="AT120" s="196">
        <v>9762.5499999999993</v>
      </c>
      <c r="AU120" s="66"/>
      <c r="AV120" s="276"/>
      <c r="AW120" s="67"/>
      <c r="AX120" s="67"/>
      <c r="AY120" s="67"/>
      <c r="AZ120" s="67"/>
      <c r="BA120" s="190">
        <v>0.28000000000000003</v>
      </c>
      <c r="BB120" s="190"/>
      <c r="BC120" s="276"/>
      <c r="BD120" s="69"/>
      <c r="BE120" s="69"/>
      <c r="BF120" s="69"/>
      <c r="BG120" s="69"/>
      <c r="BH120" s="199"/>
      <c r="BI120" s="70"/>
      <c r="BJ120" s="60"/>
      <c r="BK120" s="71"/>
      <c r="BL120" s="71"/>
      <c r="BM120" s="71"/>
      <c r="BN120" s="71"/>
      <c r="BO120" s="200"/>
      <c r="BP120" s="200"/>
      <c r="BQ120" s="276"/>
      <c r="BR120" s="67"/>
      <c r="BS120" s="67"/>
      <c r="BT120" s="67">
        <f t="shared" ref="BT120" si="223">W120/P120</f>
        <v>0.14285714285714285</v>
      </c>
      <c r="BU120" s="68"/>
      <c r="BV120" s="175"/>
      <c r="BW120" s="73"/>
    </row>
    <row r="121" spans="1:75" x14ac:dyDescent="0.25">
      <c r="A121" s="13">
        <v>97</v>
      </c>
      <c r="B121" s="59" t="s">
        <v>57</v>
      </c>
      <c r="C121" s="60">
        <v>17</v>
      </c>
      <c r="D121" s="61">
        <v>17</v>
      </c>
      <c r="E121" s="61">
        <v>17</v>
      </c>
      <c r="F121" s="145"/>
      <c r="G121" s="62">
        <v>18</v>
      </c>
      <c r="H121" s="60">
        <v>228</v>
      </c>
      <c r="I121" s="61">
        <v>230</v>
      </c>
      <c r="J121" s="61">
        <v>232</v>
      </c>
      <c r="K121" s="145"/>
      <c r="L121" s="62">
        <v>241</v>
      </c>
      <c r="M121" s="60">
        <v>20</v>
      </c>
      <c r="N121" s="61">
        <v>34</v>
      </c>
      <c r="O121" s="61">
        <v>36</v>
      </c>
      <c r="P121" s="145"/>
      <c r="Q121" s="62">
        <v>37</v>
      </c>
      <c r="R121" s="60">
        <v>5</v>
      </c>
      <c r="S121" s="61">
        <v>7</v>
      </c>
      <c r="T121" s="61">
        <v>8</v>
      </c>
      <c r="U121" s="61">
        <v>25</v>
      </c>
      <c r="V121" s="61">
        <v>12</v>
      </c>
      <c r="W121" s="145"/>
      <c r="X121" s="62">
        <v>32</v>
      </c>
      <c r="Y121" s="60" t="s">
        <v>127</v>
      </c>
      <c r="Z121" s="61" t="s">
        <v>134</v>
      </c>
      <c r="AA121" s="61" t="s">
        <v>219</v>
      </c>
      <c r="AB121" s="145" t="s">
        <v>219</v>
      </c>
      <c r="AC121" s="61" t="s">
        <v>219</v>
      </c>
      <c r="AD121" s="91"/>
      <c r="AE121" s="61"/>
      <c r="AF121" s="152"/>
      <c r="AG121" s="64">
        <v>24.19</v>
      </c>
      <c r="AH121" s="270"/>
      <c r="AI121" s="65"/>
      <c r="AJ121" s="65"/>
      <c r="AK121" s="65"/>
      <c r="AL121" s="65"/>
      <c r="AM121" s="196"/>
      <c r="AN121" s="66">
        <v>76992</v>
      </c>
      <c r="AO121" s="270"/>
      <c r="AP121" s="65"/>
      <c r="AQ121" s="65"/>
      <c r="AR121" s="65"/>
      <c r="AS121" s="65"/>
      <c r="AT121" s="196"/>
      <c r="AU121" s="66">
        <v>18331</v>
      </c>
      <c r="AV121" s="276"/>
      <c r="AW121" s="67"/>
      <c r="AX121" s="67"/>
      <c r="AY121" s="67"/>
      <c r="AZ121" s="67"/>
      <c r="BA121" s="190"/>
      <c r="BB121" s="68">
        <f t="shared" si="123"/>
        <v>0.23808967165419784</v>
      </c>
      <c r="BC121" s="276" t="s">
        <v>226</v>
      </c>
      <c r="BD121" s="69"/>
      <c r="BE121" s="69"/>
      <c r="BF121" s="69"/>
      <c r="BG121" s="69"/>
      <c r="BH121" s="199"/>
      <c r="BI121" s="70"/>
      <c r="BJ121" s="60" t="s">
        <v>226</v>
      </c>
      <c r="BK121" s="71"/>
      <c r="BL121" s="71"/>
      <c r="BM121" s="71"/>
      <c r="BN121" s="71"/>
      <c r="BO121" s="200"/>
      <c r="BP121" s="72"/>
      <c r="BQ121" s="276">
        <f t="shared" ref="BQ121:BS121" si="224">T121/M121</f>
        <v>0.4</v>
      </c>
      <c r="BR121" s="67">
        <f t="shared" si="224"/>
        <v>0.73529411764705888</v>
      </c>
      <c r="BS121" s="67">
        <f t="shared" si="224"/>
        <v>0.33333333333333331</v>
      </c>
      <c r="BT121" s="190"/>
      <c r="BU121" s="68">
        <f t="shared" si="133"/>
        <v>0.86486486486486491</v>
      </c>
      <c r="BV121" s="175"/>
      <c r="BW121" s="73"/>
    </row>
    <row r="122" spans="1:75" x14ac:dyDescent="0.25">
      <c r="A122" s="13">
        <v>98</v>
      </c>
      <c r="B122" s="59" t="s">
        <v>186</v>
      </c>
      <c r="C122" s="60">
        <v>9</v>
      </c>
      <c r="D122" s="61">
        <v>9</v>
      </c>
      <c r="E122" s="61">
        <v>9</v>
      </c>
      <c r="F122" s="145">
        <v>0</v>
      </c>
      <c r="G122" s="62">
        <v>0</v>
      </c>
      <c r="H122" s="60">
        <v>207</v>
      </c>
      <c r="I122" s="61">
        <v>205</v>
      </c>
      <c r="J122" s="61">
        <v>198</v>
      </c>
      <c r="K122" s="145">
        <v>89</v>
      </c>
      <c r="L122" s="62">
        <v>90</v>
      </c>
      <c r="M122" s="60">
        <v>29</v>
      </c>
      <c r="N122" s="61">
        <v>38</v>
      </c>
      <c r="O122" s="61">
        <v>31</v>
      </c>
      <c r="P122" s="145">
        <v>30</v>
      </c>
      <c r="Q122" s="62">
        <v>29</v>
      </c>
      <c r="R122" s="60">
        <v>0</v>
      </c>
      <c r="S122" s="61">
        <v>0</v>
      </c>
      <c r="T122" s="61">
        <v>0</v>
      </c>
      <c r="U122" s="61">
        <v>0</v>
      </c>
      <c r="V122" s="61">
        <v>3</v>
      </c>
      <c r="W122" s="145">
        <v>4</v>
      </c>
      <c r="X122" s="62">
        <v>1</v>
      </c>
      <c r="Y122" s="60">
        <v>15.1</v>
      </c>
      <c r="Z122" s="61">
        <v>15.1</v>
      </c>
      <c r="AA122" s="61">
        <v>20.91</v>
      </c>
      <c r="AB122" s="145">
        <v>20.91</v>
      </c>
      <c r="AC122" s="61">
        <v>20.91</v>
      </c>
      <c r="AD122" s="61"/>
      <c r="AE122" s="61"/>
      <c r="AF122" s="63">
        <v>20.91</v>
      </c>
      <c r="AG122" s="64">
        <v>35.4</v>
      </c>
      <c r="AH122" s="270"/>
      <c r="AI122" s="65">
        <v>15508</v>
      </c>
      <c r="AJ122" s="65">
        <v>22142</v>
      </c>
      <c r="AK122" s="65">
        <v>27128</v>
      </c>
      <c r="AL122" s="65">
        <v>22905</v>
      </c>
      <c r="AM122" s="196">
        <v>20970.189999999999</v>
      </c>
      <c r="AN122" s="66">
        <v>24963.68</v>
      </c>
      <c r="AO122" s="270"/>
      <c r="AP122" s="65">
        <v>1267</v>
      </c>
      <c r="AQ122" s="65">
        <v>3817</v>
      </c>
      <c r="AR122" s="65">
        <v>8997</v>
      </c>
      <c r="AS122" s="65">
        <v>11444</v>
      </c>
      <c r="AT122" s="196">
        <v>10757.64</v>
      </c>
      <c r="AU122" s="66">
        <v>8708.57</v>
      </c>
      <c r="AV122" s="276"/>
      <c r="AW122" s="67">
        <f t="shared" ref="AW122:BA127" si="225">AP122/AI122</f>
        <v>8.1699767861748776E-2</v>
      </c>
      <c r="AX122" s="67">
        <f t="shared" si="225"/>
        <v>0.17238731821876976</v>
      </c>
      <c r="AY122" s="67">
        <f t="shared" si="225"/>
        <v>0.33164995576526096</v>
      </c>
      <c r="AZ122" s="67">
        <f t="shared" si="225"/>
        <v>0.49962890198646581</v>
      </c>
      <c r="BA122" s="190">
        <v>0.51</v>
      </c>
      <c r="BB122" s="190">
        <f t="shared" ref="BB122:BB139" si="226">AU122/AN122</f>
        <v>0.34884960871153609</v>
      </c>
      <c r="BC122" s="276" t="s">
        <v>226</v>
      </c>
      <c r="BD122" s="69">
        <f t="shared" ref="BD122:BH125" si="227">(AW122-$AV122)*100</f>
        <v>8.1699767861748782</v>
      </c>
      <c r="BE122" s="69">
        <f t="shared" si="227"/>
        <v>17.238731821876975</v>
      </c>
      <c r="BF122" s="69">
        <f t="shared" si="227"/>
        <v>33.164995576526096</v>
      </c>
      <c r="BG122" s="69">
        <f t="shared" si="227"/>
        <v>49.962890198646583</v>
      </c>
      <c r="BH122" s="199">
        <f t="shared" si="227"/>
        <v>51</v>
      </c>
      <c r="BI122" s="70">
        <f t="shared" si="136"/>
        <v>34.884960871153609</v>
      </c>
      <c r="BJ122" s="60" t="s">
        <v>226</v>
      </c>
      <c r="BK122" s="71">
        <f t="shared" ref="BK122:BO125" si="228">(AW122-AV122)*100</f>
        <v>8.1699767861748782</v>
      </c>
      <c r="BL122" s="71">
        <f t="shared" si="228"/>
        <v>9.0687550357020985</v>
      </c>
      <c r="BM122" s="71">
        <f t="shared" si="228"/>
        <v>15.926263754649121</v>
      </c>
      <c r="BN122" s="71">
        <f t="shared" si="228"/>
        <v>16.797894622120484</v>
      </c>
      <c r="BO122" s="200">
        <f t="shared" si="228"/>
        <v>1.0371098013534197</v>
      </c>
      <c r="BP122" s="200">
        <f t="shared" si="152"/>
        <v>-16.115039128846391</v>
      </c>
      <c r="BQ122" s="276">
        <f t="shared" ref="BQ122:BU127" si="229">T122/M122</f>
        <v>0</v>
      </c>
      <c r="BR122" s="67">
        <f t="shared" si="229"/>
        <v>0</v>
      </c>
      <c r="BS122" s="67">
        <f t="shared" si="229"/>
        <v>9.6774193548387094E-2</v>
      </c>
      <c r="BT122" s="67">
        <f t="shared" si="229"/>
        <v>0.13333333333333333</v>
      </c>
      <c r="BU122" s="68">
        <f t="shared" si="133"/>
        <v>3.4482758620689655E-2</v>
      </c>
      <c r="BV122" s="175">
        <f t="shared" si="134"/>
        <v>0.69296987087517925</v>
      </c>
      <c r="BW122" s="73">
        <f t="shared" si="135"/>
        <v>-3.3333333333333333E-2</v>
      </c>
    </row>
    <row r="123" spans="1:75" x14ac:dyDescent="0.25">
      <c r="A123" s="13">
        <v>98</v>
      </c>
      <c r="B123" s="59" t="s">
        <v>187</v>
      </c>
      <c r="C123" s="60">
        <v>4</v>
      </c>
      <c r="D123" s="61">
        <v>4</v>
      </c>
      <c r="E123" s="61">
        <v>4</v>
      </c>
      <c r="F123" s="145">
        <v>0</v>
      </c>
      <c r="G123" s="62">
        <v>0</v>
      </c>
      <c r="H123" s="60"/>
      <c r="I123" s="61"/>
      <c r="J123" s="61"/>
      <c r="K123" s="145">
        <v>31</v>
      </c>
      <c r="L123" s="62">
        <v>32</v>
      </c>
      <c r="M123" s="60">
        <v>56</v>
      </c>
      <c r="N123" s="61">
        <v>54</v>
      </c>
      <c r="O123" s="61">
        <v>56</v>
      </c>
      <c r="P123" s="145">
        <v>26</v>
      </c>
      <c r="Q123" s="62">
        <v>30</v>
      </c>
      <c r="R123" s="60">
        <v>0</v>
      </c>
      <c r="S123" s="61">
        <v>0</v>
      </c>
      <c r="T123" s="61">
        <v>0</v>
      </c>
      <c r="U123" s="61">
        <v>0</v>
      </c>
      <c r="V123" s="61">
        <v>0</v>
      </c>
      <c r="W123" s="145">
        <v>0</v>
      </c>
      <c r="X123" s="62">
        <v>0</v>
      </c>
      <c r="Y123" s="60" t="s">
        <v>128</v>
      </c>
      <c r="Z123" s="61" t="s">
        <v>136</v>
      </c>
      <c r="AA123" s="61" t="s">
        <v>179</v>
      </c>
      <c r="AB123" s="145" t="s">
        <v>180</v>
      </c>
      <c r="AC123" s="61" t="s">
        <v>180</v>
      </c>
      <c r="AD123" s="91"/>
      <c r="AE123" s="61"/>
      <c r="AF123" s="152" t="s">
        <v>342</v>
      </c>
      <c r="AG123" s="152" t="s">
        <v>342</v>
      </c>
      <c r="AH123" s="270">
        <v>9466.61</v>
      </c>
      <c r="AI123" s="65">
        <v>5881.32</v>
      </c>
      <c r="AJ123" s="65">
        <v>6920.69</v>
      </c>
      <c r="AK123" s="65">
        <v>8880.18</v>
      </c>
      <c r="AL123" s="65">
        <v>7712.28</v>
      </c>
      <c r="AM123" s="196">
        <v>6651</v>
      </c>
      <c r="AN123" s="66">
        <v>6968</v>
      </c>
      <c r="AO123" s="270">
        <v>5279.69</v>
      </c>
      <c r="AP123" s="65">
        <v>5891.98</v>
      </c>
      <c r="AQ123" s="65">
        <v>5550.58</v>
      </c>
      <c r="AR123" s="65">
        <v>5792.95</v>
      </c>
      <c r="AS123" s="65">
        <v>6383.75</v>
      </c>
      <c r="AT123" s="196">
        <v>777</v>
      </c>
      <c r="AU123" s="66">
        <v>328</v>
      </c>
      <c r="AV123" s="276">
        <f t="shared" ref="AV123:AV124" si="230">AO123/AH123</f>
        <v>0.55771707084162114</v>
      </c>
      <c r="AW123" s="67">
        <f t="shared" si="225"/>
        <v>1.0018125182782096</v>
      </c>
      <c r="AX123" s="67">
        <f t="shared" si="225"/>
        <v>0.80202696551933406</v>
      </c>
      <c r="AY123" s="67">
        <f t="shared" si="225"/>
        <v>0.65234601100428136</v>
      </c>
      <c r="AZ123" s="67">
        <f t="shared" si="225"/>
        <v>0.82773836012177981</v>
      </c>
      <c r="BA123" s="190">
        <f t="shared" si="225"/>
        <v>0.11682453766350925</v>
      </c>
      <c r="BB123" s="68">
        <f t="shared" si="226"/>
        <v>4.7072330654420208E-2</v>
      </c>
      <c r="BC123" s="276" t="s">
        <v>226</v>
      </c>
      <c r="BD123" s="69">
        <f t="shared" si="227"/>
        <v>44.409544743658849</v>
      </c>
      <c r="BE123" s="69">
        <f t="shared" si="227"/>
        <v>24.43098946777129</v>
      </c>
      <c r="BF123" s="69">
        <f t="shared" si="227"/>
        <v>9.4628940162660218</v>
      </c>
      <c r="BG123" s="69">
        <f t="shared" si="227"/>
        <v>27.002128928015868</v>
      </c>
      <c r="BH123" s="199">
        <f t="shared" si="227"/>
        <v>-44.089253317811192</v>
      </c>
      <c r="BI123" s="70">
        <f t="shared" si="136"/>
        <v>-51.064474018720098</v>
      </c>
      <c r="BJ123" s="60" t="s">
        <v>226</v>
      </c>
      <c r="BK123" s="71">
        <f t="shared" si="228"/>
        <v>44.409544743658849</v>
      </c>
      <c r="BL123" s="71">
        <f t="shared" si="228"/>
        <v>-19.978555275887555</v>
      </c>
      <c r="BM123" s="71">
        <f t="shared" si="228"/>
        <v>-14.96809545150527</v>
      </c>
      <c r="BN123" s="71">
        <f t="shared" si="228"/>
        <v>17.539234911749844</v>
      </c>
      <c r="BO123" s="200">
        <f t="shared" si="228"/>
        <v>-71.091382245827049</v>
      </c>
      <c r="BP123" s="72">
        <f t="shared" si="152"/>
        <v>-6.9752207009089044</v>
      </c>
      <c r="BQ123" s="276">
        <f t="shared" si="229"/>
        <v>0</v>
      </c>
      <c r="BR123" s="67">
        <f t="shared" si="229"/>
        <v>0</v>
      </c>
      <c r="BS123" s="67">
        <f t="shared" si="229"/>
        <v>0</v>
      </c>
      <c r="BT123" s="190">
        <f t="shared" si="229"/>
        <v>0</v>
      </c>
      <c r="BU123" s="68">
        <f t="shared" si="229"/>
        <v>0</v>
      </c>
      <c r="BV123" s="175"/>
      <c r="BW123" s="73">
        <f t="shared" ref="BW123:BW124" si="231">(Q123-P123)/P123</f>
        <v>0.15384615384615385</v>
      </c>
    </row>
    <row r="124" spans="1:75" x14ac:dyDescent="0.25">
      <c r="A124" s="13">
        <v>98</v>
      </c>
      <c r="B124" s="59" t="s">
        <v>188</v>
      </c>
      <c r="C124" s="60">
        <v>14</v>
      </c>
      <c r="D124" s="61">
        <v>14</v>
      </c>
      <c r="E124" s="61">
        <v>14</v>
      </c>
      <c r="F124" s="145">
        <v>0</v>
      </c>
      <c r="G124" s="62">
        <v>0</v>
      </c>
      <c r="H124" s="60"/>
      <c r="I124" s="61"/>
      <c r="J124" s="61"/>
      <c r="K124" s="145">
        <v>210</v>
      </c>
      <c r="L124" s="62">
        <v>218</v>
      </c>
      <c r="M124" s="60">
        <v>135</v>
      </c>
      <c r="N124" s="61">
        <v>154</v>
      </c>
      <c r="O124" s="61">
        <v>160</v>
      </c>
      <c r="P124" s="145">
        <v>86</v>
      </c>
      <c r="Q124" s="62">
        <v>92</v>
      </c>
      <c r="R124" s="60">
        <v>0</v>
      </c>
      <c r="S124" s="61">
        <v>30</v>
      </c>
      <c r="T124" s="61">
        <v>0</v>
      </c>
      <c r="U124" s="61">
        <v>0</v>
      </c>
      <c r="V124" s="61">
        <v>0</v>
      </c>
      <c r="W124" s="145">
        <v>0</v>
      </c>
      <c r="X124" s="62">
        <v>0</v>
      </c>
      <c r="Y124" s="60"/>
      <c r="Z124" s="61" t="s">
        <v>95</v>
      </c>
      <c r="AA124" s="61" t="s">
        <v>181</v>
      </c>
      <c r="AB124" s="145" t="s">
        <v>132</v>
      </c>
      <c r="AC124" s="61" t="s">
        <v>182</v>
      </c>
      <c r="AD124" s="91"/>
      <c r="AE124" s="61"/>
      <c r="AF124" s="145" t="s">
        <v>343</v>
      </c>
      <c r="AG124" s="62" t="s">
        <v>404</v>
      </c>
      <c r="AH124" s="270">
        <v>27202.79</v>
      </c>
      <c r="AI124" s="65">
        <v>35392.33</v>
      </c>
      <c r="AJ124" s="65">
        <v>48718</v>
      </c>
      <c r="AK124" s="65">
        <v>62237.98</v>
      </c>
      <c r="AL124" s="65">
        <v>56276.49</v>
      </c>
      <c r="AM124" s="196">
        <v>56680</v>
      </c>
      <c r="AN124" s="66">
        <v>61393</v>
      </c>
      <c r="AO124" s="270">
        <v>18084.03</v>
      </c>
      <c r="AP124" s="65">
        <v>16443.009999999998</v>
      </c>
      <c r="AQ124" s="65">
        <v>18287.060000000001</v>
      </c>
      <c r="AR124" s="65">
        <v>28539.93</v>
      </c>
      <c r="AS124" s="65">
        <v>34141.769999999997</v>
      </c>
      <c r="AT124" s="196">
        <v>6115</v>
      </c>
      <c r="AU124" s="66">
        <v>6830</v>
      </c>
      <c r="AV124" s="276">
        <f t="shared" si="230"/>
        <v>0.66478585468622886</v>
      </c>
      <c r="AW124" s="67">
        <f t="shared" si="225"/>
        <v>0.46459246961135359</v>
      </c>
      <c r="AX124" s="67">
        <f t="shared" si="225"/>
        <v>0.37536557329939657</v>
      </c>
      <c r="AY124" s="67">
        <f t="shared" si="225"/>
        <v>0.45856131577535131</v>
      </c>
      <c r="AZ124" s="67">
        <f t="shared" si="225"/>
        <v>0.6066790945917202</v>
      </c>
      <c r="BA124" s="190">
        <f t="shared" si="225"/>
        <v>0.1078863796753705</v>
      </c>
      <c r="BB124" s="68">
        <f t="shared" si="226"/>
        <v>0.11125046829443096</v>
      </c>
      <c r="BC124" s="276" t="s">
        <v>226</v>
      </c>
      <c r="BD124" s="69">
        <f t="shared" si="227"/>
        <v>-20.019338507487529</v>
      </c>
      <c r="BE124" s="69">
        <f t="shared" si="227"/>
        <v>-28.942028138683227</v>
      </c>
      <c r="BF124" s="69">
        <f t="shared" si="227"/>
        <v>-20.622453891087755</v>
      </c>
      <c r="BG124" s="69">
        <f t="shared" si="227"/>
        <v>-5.8106760094508658</v>
      </c>
      <c r="BH124" s="199">
        <f t="shared" si="227"/>
        <v>-55.689947501085832</v>
      </c>
      <c r="BI124" s="70">
        <f t="shared" si="136"/>
        <v>-55.353538639179789</v>
      </c>
      <c r="BJ124" s="60" t="s">
        <v>226</v>
      </c>
      <c r="BK124" s="71">
        <f t="shared" si="228"/>
        <v>-20.019338507487529</v>
      </c>
      <c r="BL124" s="71">
        <f t="shared" si="228"/>
        <v>-8.922689631195702</v>
      </c>
      <c r="BM124" s="71">
        <f t="shared" si="228"/>
        <v>8.3195742475954741</v>
      </c>
      <c r="BN124" s="71">
        <f t="shared" si="228"/>
        <v>14.811777881636889</v>
      </c>
      <c r="BO124" s="200">
        <f t="shared" si="228"/>
        <v>-49.879271491634967</v>
      </c>
      <c r="BP124" s="72">
        <f t="shared" si="152"/>
        <v>0.33640886190604569</v>
      </c>
      <c r="BQ124" s="276">
        <f t="shared" si="229"/>
        <v>0</v>
      </c>
      <c r="BR124" s="67">
        <f t="shared" si="229"/>
        <v>0</v>
      </c>
      <c r="BS124" s="67">
        <f t="shared" si="229"/>
        <v>0</v>
      </c>
      <c r="BT124" s="190">
        <f t="shared" si="229"/>
        <v>0</v>
      </c>
      <c r="BU124" s="68">
        <f t="shared" si="229"/>
        <v>0</v>
      </c>
      <c r="BV124" s="175"/>
      <c r="BW124" s="73">
        <f t="shared" si="231"/>
        <v>6.9767441860465115E-2</v>
      </c>
    </row>
    <row r="125" spans="1:75" x14ac:dyDescent="0.25">
      <c r="A125" s="13">
        <v>98</v>
      </c>
      <c r="B125" s="59" t="s">
        <v>189</v>
      </c>
      <c r="C125" s="60">
        <v>0</v>
      </c>
      <c r="D125" s="61">
        <v>0</v>
      </c>
      <c r="E125" s="61">
        <v>0</v>
      </c>
      <c r="F125" s="145">
        <v>0</v>
      </c>
      <c r="G125" s="62">
        <v>0</v>
      </c>
      <c r="H125" s="60">
        <v>188</v>
      </c>
      <c r="I125" s="61">
        <v>188</v>
      </c>
      <c r="J125" s="61">
        <v>192</v>
      </c>
      <c r="K125" s="145">
        <v>190</v>
      </c>
      <c r="L125" s="62">
        <v>190</v>
      </c>
      <c r="M125" s="60">
        <v>41</v>
      </c>
      <c r="N125" s="61">
        <v>54</v>
      </c>
      <c r="O125" s="61">
        <v>59</v>
      </c>
      <c r="P125" s="145">
        <v>53</v>
      </c>
      <c r="Q125" s="62">
        <v>38</v>
      </c>
      <c r="R125" s="60">
        <v>0</v>
      </c>
      <c r="S125" s="61">
        <v>0</v>
      </c>
      <c r="T125" s="61">
        <v>0</v>
      </c>
      <c r="U125" s="61">
        <v>0</v>
      </c>
      <c r="V125" s="61">
        <v>0</v>
      </c>
      <c r="W125" s="145">
        <v>0</v>
      </c>
      <c r="X125" s="62">
        <v>0</v>
      </c>
      <c r="Y125" s="60">
        <v>13.88</v>
      </c>
      <c r="Z125" s="61">
        <v>24.74</v>
      </c>
      <c r="AA125" s="61">
        <v>33.46</v>
      </c>
      <c r="AB125" s="145">
        <v>33.46</v>
      </c>
      <c r="AC125" s="61">
        <v>33.46</v>
      </c>
      <c r="AD125" s="91"/>
      <c r="AE125" s="61"/>
      <c r="AF125" s="152">
        <v>33.46</v>
      </c>
      <c r="AG125" s="64">
        <v>31.73</v>
      </c>
      <c r="AH125" s="270">
        <v>28849.17</v>
      </c>
      <c r="AI125" s="65">
        <v>30566.07</v>
      </c>
      <c r="AJ125" s="65">
        <v>46309.05</v>
      </c>
      <c r="AK125" s="65">
        <v>58563.43</v>
      </c>
      <c r="AL125" s="65">
        <v>50327.12</v>
      </c>
      <c r="AM125" s="196">
        <v>50635</v>
      </c>
      <c r="AN125" s="66">
        <v>54724</v>
      </c>
      <c r="AO125" s="270">
        <v>1778.25</v>
      </c>
      <c r="AP125" s="65">
        <v>1077.93</v>
      </c>
      <c r="AQ125" s="65">
        <v>2630.11</v>
      </c>
      <c r="AR125" s="65">
        <v>3967.71</v>
      </c>
      <c r="AS125" s="65">
        <v>5231.47</v>
      </c>
      <c r="AT125" s="196">
        <v>4919</v>
      </c>
      <c r="AU125" s="66">
        <v>5079</v>
      </c>
      <c r="AV125" s="276">
        <f t="shared" ref="AV125" si="232">AO125/AH125</f>
        <v>6.1639554968132539E-2</v>
      </c>
      <c r="AW125" s="67">
        <f t="shared" si="225"/>
        <v>3.5265573886338678E-2</v>
      </c>
      <c r="AX125" s="67">
        <f t="shared" si="225"/>
        <v>5.6794730187727883E-2</v>
      </c>
      <c r="AY125" s="67">
        <f t="shared" si="225"/>
        <v>6.775064233771827E-2</v>
      </c>
      <c r="AZ125" s="67">
        <f t="shared" si="225"/>
        <v>0.10394932195603483</v>
      </c>
      <c r="BA125" s="190">
        <f t="shared" si="225"/>
        <v>9.714624271748791E-2</v>
      </c>
      <c r="BB125" s="68">
        <f t="shared" si="226"/>
        <v>9.2811198011841234E-2</v>
      </c>
      <c r="BC125" s="276" t="s">
        <v>226</v>
      </c>
      <c r="BD125" s="69">
        <f t="shared" si="227"/>
        <v>-2.637398108179386</v>
      </c>
      <c r="BE125" s="69">
        <f t="shared" si="227"/>
        <v>-0.48448247804046551</v>
      </c>
      <c r="BF125" s="69">
        <f t="shared" si="227"/>
        <v>0.61110873695857315</v>
      </c>
      <c r="BG125" s="69">
        <f t="shared" si="227"/>
        <v>4.2309766987902293</v>
      </c>
      <c r="BH125" s="199">
        <f t="shared" si="227"/>
        <v>3.550668774935537</v>
      </c>
      <c r="BI125" s="70">
        <f t="shared" si="136"/>
        <v>3.1171643043708697</v>
      </c>
      <c r="BJ125" s="60" t="s">
        <v>226</v>
      </c>
      <c r="BK125" s="71">
        <f t="shared" si="228"/>
        <v>-2.637398108179386</v>
      </c>
      <c r="BL125" s="71">
        <f t="shared" si="228"/>
        <v>2.1529156301389207</v>
      </c>
      <c r="BM125" s="71">
        <f t="shared" si="228"/>
        <v>1.0955912149990386</v>
      </c>
      <c r="BN125" s="71">
        <f t="shared" si="228"/>
        <v>3.6198679618316563</v>
      </c>
      <c r="BO125" s="200">
        <f t="shared" si="228"/>
        <v>-0.68030792385469219</v>
      </c>
      <c r="BP125" s="72">
        <f t="shared" si="152"/>
        <v>-0.43350447056466762</v>
      </c>
      <c r="BQ125" s="276">
        <f t="shared" si="229"/>
        <v>0</v>
      </c>
      <c r="BR125" s="67">
        <f t="shared" si="229"/>
        <v>0</v>
      </c>
      <c r="BS125" s="67">
        <f t="shared" si="229"/>
        <v>0</v>
      </c>
      <c r="BT125" s="190">
        <f t="shared" si="229"/>
        <v>0</v>
      </c>
      <c r="BU125" s="68">
        <f t="shared" ref="BU125:BU139" si="233">X125/Q125</f>
        <v>0</v>
      </c>
      <c r="BV125" s="175">
        <f t="shared" ref="BV125" si="234">(AG125-AF125)/AF125</f>
        <v>-5.1703526598924097E-2</v>
      </c>
      <c r="BW125" s="73">
        <f t="shared" ref="BW125:BW139" si="235">(Q125-P125)/P125</f>
        <v>-0.28301886792452829</v>
      </c>
    </row>
    <row r="126" spans="1:75" x14ac:dyDescent="0.25">
      <c r="A126" s="13">
        <v>98</v>
      </c>
      <c r="B126" s="59" t="s">
        <v>192</v>
      </c>
      <c r="C126" s="60">
        <v>5</v>
      </c>
      <c r="D126" s="61">
        <v>5</v>
      </c>
      <c r="E126" s="61">
        <v>5</v>
      </c>
      <c r="F126" s="145">
        <v>0</v>
      </c>
      <c r="G126" s="62">
        <v>6</v>
      </c>
      <c r="H126" s="60">
        <v>77</v>
      </c>
      <c r="I126" s="61">
        <v>77</v>
      </c>
      <c r="J126" s="61">
        <v>79</v>
      </c>
      <c r="K126" s="145">
        <v>80</v>
      </c>
      <c r="L126" s="62">
        <v>85</v>
      </c>
      <c r="M126" s="60">
        <v>24</v>
      </c>
      <c r="N126" s="61">
        <v>30</v>
      </c>
      <c r="O126" s="61">
        <v>30</v>
      </c>
      <c r="P126" s="145">
        <v>35</v>
      </c>
      <c r="Q126" s="62">
        <v>40</v>
      </c>
      <c r="R126" s="60">
        <v>0</v>
      </c>
      <c r="S126" s="61">
        <v>0</v>
      </c>
      <c r="T126" s="61">
        <v>0</v>
      </c>
      <c r="U126" s="61">
        <v>0</v>
      </c>
      <c r="V126" s="61">
        <v>0</v>
      </c>
      <c r="W126" s="145">
        <v>1</v>
      </c>
      <c r="X126" s="62">
        <v>1</v>
      </c>
      <c r="Y126" s="60" t="s">
        <v>185</v>
      </c>
      <c r="Z126" s="61" t="s">
        <v>185</v>
      </c>
      <c r="AA126" s="61" t="s">
        <v>160</v>
      </c>
      <c r="AB126" s="145" t="s">
        <v>182</v>
      </c>
      <c r="AC126" s="61" t="s">
        <v>182</v>
      </c>
      <c r="AD126" s="91">
        <v>0.84</v>
      </c>
      <c r="AE126" s="61">
        <v>0.95</v>
      </c>
      <c r="AF126" s="145" t="s">
        <v>182</v>
      </c>
      <c r="AG126" s="145" t="s">
        <v>182</v>
      </c>
      <c r="AH126" s="270"/>
      <c r="AI126" s="65"/>
      <c r="AJ126" s="65"/>
      <c r="AK126" s="65"/>
      <c r="AL126" s="65">
        <v>24500</v>
      </c>
      <c r="AM126" s="196">
        <v>263064</v>
      </c>
      <c r="AN126" s="66">
        <v>27717</v>
      </c>
      <c r="AO126" s="270"/>
      <c r="AP126" s="65"/>
      <c r="AQ126" s="65"/>
      <c r="AR126" s="65"/>
      <c r="AS126" s="65">
        <v>20780</v>
      </c>
      <c r="AT126" s="196">
        <v>11371.21</v>
      </c>
      <c r="AU126" s="66">
        <v>12320</v>
      </c>
      <c r="AV126" s="276"/>
      <c r="AW126" s="67"/>
      <c r="AX126" s="67"/>
      <c r="AY126" s="67"/>
      <c r="AZ126" s="67">
        <f>AS126/AL126</f>
        <v>0.8481632653061224</v>
      </c>
      <c r="BA126" s="190">
        <f t="shared" si="225"/>
        <v>4.3226021044308609E-2</v>
      </c>
      <c r="BB126" s="68">
        <f t="shared" si="226"/>
        <v>0.44449254969874086</v>
      </c>
      <c r="BC126" s="276" t="s">
        <v>226</v>
      </c>
      <c r="BD126" s="69"/>
      <c r="BE126" s="69"/>
      <c r="BF126" s="69"/>
      <c r="BG126" s="69"/>
      <c r="BH126" s="199"/>
      <c r="BI126" s="70"/>
      <c r="BJ126" s="60" t="s">
        <v>226</v>
      </c>
      <c r="BK126" s="71"/>
      <c r="BL126" s="71"/>
      <c r="BM126" s="71"/>
      <c r="BN126" s="71"/>
      <c r="BO126" s="200"/>
      <c r="BP126" s="72">
        <f t="shared" si="152"/>
        <v>40.126652865443226</v>
      </c>
      <c r="BQ126" s="276">
        <f t="shared" si="229"/>
        <v>0</v>
      </c>
      <c r="BR126" s="67">
        <f t="shared" si="229"/>
        <v>0</v>
      </c>
      <c r="BS126" s="67">
        <f t="shared" si="229"/>
        <v>0</v>
      </c>
      <c r="BT126" s="190">
        <f t="shared" si="229"/>
        <v>2.8571428571428571E-2</v>
      </c>
      <c r="BU126" s="68">
        <f t="shared" si="233"/>
        <v>2.5000000000000001E-2</v>
      </c>
      <c r="BV126" s="175"/>
      <c r="BW126" s="73">
        <f t="shared" si="235"/>
        <v>0.14285714285714285</v>
      </c>
    </row>
    <row r="127" spans="1:75" x14ac:dyDescent="0.25">
      <c r="A127" s="13">
        <v>98</v>
      </c>
      <c r="B127" s="59" t="s">
        <v>193</v>
      </c>
      <c r="C127" s="60">
        <v>0</v>
      </c>
      <c r="D127" s="61">
        <v>0</v>
      </c>
      <c r="E127" s="61">
        <v>0</v>
      </c>
      <c r="F127" s="145">
        <v>0</v>
      </c>
      <c r="G127" s="62">
        <v>10</v>
      </c>
      <c r="H127" s="60">
        <v>85</v>
      </c>
      <c r="I127" s="61">
        <v>88</v>
      </c>
      <c r="J127" s="61">
        <v>88</v>
      </c>
      <c r="K127" s="145">
        <v>88</v>
      </c>
      <c r="L127" s="62">
        <v>114</v>
      </c>
      <c r="M127" s="60">
        <v>72</v>
      </c>
      <c r="N127" s="61">
        <v>86</v>
      </c>
      <c r="O127" s="61">
        <v>36</v>
      </c>
      <c r="P127" s="145">
        <v>34</v>
      </c>
      <c r="Q127" s="62">
        <v>50</v>
      </c>
      <c r="R127" s="60">
        <v>0</v>
      </c>
      <c r="S127" s="61">
        <v>0</v>
      </c>
      <c r="T127" s="61">
        <v>0</v>
      </c>
      <c r="U127" s="61">
        <v>0</v>
      </c>
      <c r="V127" s="61">
        <v>0</v>
      </c>
      <c r="W127" s="145">
        <v>5</v>
      </c>
      <c r="X127" s="62">
        <v>1</v>
      </c>
      <c r="Y127" s="60" t="s">
        <v>136</v>
      </c>
      <c r="Z127" s="61" t="s">
        <v>136</v>
      </c>
      <c r="AA127" s="61" t="s">
        <v>136</v>
      </c>
      <c r="AB127" s="145" t="s">
        <v>136</v>
      </c>
      <c r="AC127" s="61" t="s">
        <v>136</v>
      </c>
      <c r="AD127" s="91">
        <v>0.86</v>
      </c>
      <c r="AE127" s="61">
        <v>0.86</v>
      </c>
      <c r="AF127" s="145" t="s">
        <v>136</v>
      </c>
      <c r="AG127" s="145" t="s">
        <v>136</v>
      </c>
      <c r="AH127" s="270">
        <v>21889.759999999998</v>
      </c>
      <c r="AI127" s="65">
        <v>25888.799999999999</v>
      </c>
      <c r="AJ127" s="65">
        <v>28319.67</v>
      </c>
      <c r="AK127" s="65">
        <v>30608.240000000002</v>
      </c>
      <c r="AL127" s="65">
        <v>28971.05</v>
      </c>
      <c r="AM127" s="196">
        <v>28023</v>
      </c>
      <c r="AN127" s="66">
        <v>31907</v>
      </c>
      <c r="AO127" s="270">
        <v>3644.3</v>
      </c>
      <c r="AP127" s="65">
        <v>3662.96</v>
      </c>
      <c r="AQ127" s="65">
        <v>5205.1000000000004</v>
      </c>
      <c r="AR127" s="65">
        <v>8521.69</v>
      </c>
      <c r="AS127" s="65">
        <v>10010.290000000001</v>
      </c>
      <c r="AT127" s="196">
        <v>8802</v>
      </c>
      <c r="AU127" s="66">
        <v>7804</v>
      </c>
      <c r="AV127" s="276">
        <f t="shared" ref="AV127:AZ127" si="236">AO127/AH127</f>
        <v>0.16648423737857337</v>
      </c>
      <c r="AW127" s="67">
        <f t="shared" si="236"/>
        <v>0.14148821111832144</v>
      </c>
      <c r="AX127" s="67">
        <f t="shared" si="236"/>
        <v>0.18379804566931751</v>
      </c>
      <c r="AY127" s="67">
        <f t="shared" si="236"/>
        <v>0.27841163033222427</v>
      </c>
      <c r="AZ127" s="67">
        <f t="shared" si="236"/>
        <v>0.34552734540170277</v>
      </c>
      <c r="BA127" s="190">
        <f t="shared" si="225"/>
        <v>0.31409913285515467</v>
      </c>
      <c r="BB127" s="68">
        <f t="shared" si="226"/>
        <v>0.24458582756135017</v>
      </c>
      <c r="BC127" s="276" t="s">
        <v>226</v>
      </c>
      <c r="BD127" s="69"/>
      <c r="BE127" s="69"/>
      <c r="BF127" s="69"/>
      <c r="BG127" s="69"/>
      <c r="BH127" s="199"/>
      <c r="BI127" s="70"/>
      <c r="BJ127" s="60" t="s">
        <v>226</v>
      </c>
      <c r="BK127" s="71"/>
      <c r="BL127" s="71">
        <f t="shared" ref="BL127:BO127" si="237">(AX127-AW127)*100</f>
        <v>4.230983455099607</v>
      </c>
      <c r="BM127" s="71">
        <f t="shared" si="237"/>
        <v>9.461358466290676</v>
      </c>
      <c r="BN127" s="71">
        <f t="shared" si="237"/>
        <v>6.7115715069478501</v>
      </c>
      <c r="BO127" s="200">
        <f t="shared" si="237"/>
        <v>-3.1428212546548098</v>
      </c>
      <c r="BP127" s="72">
        <f t="shared" si="152"/>
        <v>-6.951330529380451</v>
      </c>
      <c r="BQ127" s="276">
        <f t="shared" si="229"/>
        <v>0</v>
      </c>
      <c r="BR127" s="67">
        <f t="shared" si="229"/>
        <v>0</v>
      </c>
      <c r="BS127" s="67">
        <f t="shared" si="229"/>
        <v>0</v>
      </c>
      <c r="BT127" s="190">
        <f t="shared" si="229"/>
        <v>0.14705882352941177</v>
      </c>
      <c r="BU127" s="68">
        <f t="shared" si="233"/>
        <v>0.02</v>
      </c>
      <c r="BV127" s="175"/>
      <c r="BW127" s="73">
        <f t="shared" si="235"/>
        <v>0.47058823529411764</v>
      </c>
    </row>
    <row r="128" spans="1:75" x14ac:dyDescent="0.25">
      <c r="A128" s="13">
        <v>101</v>
      </c>
      <c r="B128" s="59" t="s">
        <v>364</v>
      </c>
      <c r="C128" s="60"/>
      <c r="D128" s="61"/>
      <c r="E128" s="61"/>
      <c r="F128" s="145">
        <v>14</v>
      </c>
      <c r="G128" s="62"/>
      <c r="H128" s="60"/>
      <c r="I128" s="61"/>
      <c r="J128" s="61"/>
      <c r="K128" s="145">
        <v>1</v>
      </c>
      <c r="L128" s="62"/>
      <c r="M128" s="60"/>
      <c r="N128" s="61"/>
      <c r="O128" s="61"/>
      <c r="P128" s="145">
        <v>157</v>
      </c>
      <c r="Q128" s="62"/>
      <c r="R128" s="60"/>
      <c r="S128" s="61"/>
      <c r="T128" s="61"/>
      <c r="U128" s="61"/>
      <c r="V128" s="61"/>
      <c r="W128" s="145">
        <v>18</v>
      </c>
      <c r="X128" s="62"/>
      <c r="Y128" s="60"/>
      <c r="Z128" s="61"/>
      <c r="AA128" s="61"/>
      <c r="AB128" s="145"/>
      <c r="AC128" s="61"/>
      <c r="AD128" s="61"/>
      <c r="AE128" s="61"/>
      <c r="AF128" s="63"/>
      <c r="AG128" s="64"/>
      <c r="AH128" s="270"/>
      <c r="AI128" s="65"/>
      <c r="AJ128" s="65"/>
      <c r="AK128" s="65"/>
      <c r="AL128" s="65"/>
      <c r="AM128" s="196">
        <v>135458.66</v>
      </c>
      <c r="AN128" s="66"/>
      <c r="AO128" s="270"/>
      <c r="AP128" s="65"/>
      <c r="AQ128" s="65"/>
      <c r="AR128" s="65"/>
      <c r="AS128" s="65"/>
      <c r="AT128" s="196">
        <v>31610.67</v>
      </c>
      <c r="AU128" s="66"/>
      <c r="AV128" s="276"/>
      <c r="AW128" s="67"/>
      <c r="AX128" s="67"/>
      <c r="AY128" s="67"/>
      <c r="AZ128" s="67"/>
      <c r="BA128" s="190">
        <v>0.2334</v>
      </c>
      <c r="BB128" s="190"/>
      <c r="BC128" s="276" t="s">
        <v>226</v>
      </c>
      <c r="BD128" s="69"/>
      <c r="BE128" s="69"/>
      <c r="BF128" s="69"/>
      <c r="BG128" s="69"/>
      <c r="BH128" s="199"/>
      <c r="BI128" s="70"/>
      <c r="BJ128" s="60" t="s">
        <v>226</v>
      </c>
      <c r="BK128" s="71"/>
      <c r="BL128" s="71"/>
      <c r="BM128" s="71"/>
      <c r="BN128" s="71"/>
      <c r="BO128" s="200"/>
      <c r="BP128" s="200"/>
      <c r="BQ128" s="276"/>
      <c r="BR128" s="67"/>
      <c r="BS128" s="67"/>
      <c r="BT128" s="67">
        <f>W128/P128</f>
        <v>0.11464968152866242</v>
      </c>
      <c r="BU128" s="68"/>
      <c r="BV128" s="175"/>
      <c r="BW128" s="73"/>
    </row>
    <row r="129" spans="1:75" x14ac:dyDescent="0.25">
      <c r="A129" s="13">
        <v>102</v>
      </c>
      <c r="B129" s="59" t="s">
        <v>59</v>
      </c>
      <c r="C129" s="60">
        <v>0</v>
      </c>
      <c r="D129" s="61">
        <v>0</v>
      </c>
      <c r="E129" s="61">
        <v>0</v>
      </c>
      <c r="F129" s="145"/>
      <c r="G129" s="62">
        <v>1</v>
      </c>
      <c r="H129" s="60">
        <v>11</v>
      </c>
      <c r="I129" s="61">
        <v>11</v>
      </c>
      <c r="J129" s="61">
        <v>11</v>
      </c>
      <c r="K129" s="145"/>
      <c r="L129" s="62">
        <v>11</v>
      </c>
      <c r="M129" s="60">
        <v>7</v>
      </c>
      <c r="N129" s="61">
        <v>9</v>
      </c>
      <c r="O129" s="61">
        <v>6</v>
      </c>
      <c r="P129" s="145"/>
      <c r="Q129" s="62">
        <v>0</v>
      </c>
      <c r="R129" s="60">
        <v>0</v>
      </c>
      <c r="S129" s="61">
        <v>0</v>
      </c>
      <c r="T129" s="61">
        <v>0</v>
      </c>
      <c r="U129" s="61">
        <v>0</v>
      </c>
      <c r="V129" s="61">
        <v>0</v>
      </c>
      <c r="W129" s="145"/>
      <c r="X129" s="62">
        <v>0</v>
      </c>
      <c r="Y129" s="61" t="s">
        <v>412</v>
      </c>
      <c r="Z129" s="61" t="s">
        <v>412</v>
      </c>
      <c r="AA129" s="61" t="s">
        <v>412</v>
      </c>
      <c r="AB129" s="61" t="s">
        <v>412</v>
      </c>
      <c r="AC129" s="61" t="s">
        <v>412</v>
      </c>
      <c r="AD129" s="91"/>
      <c r="AE129" s="61"/>
      <c r="AF129" s="152"/>
      <c r="AG129" s="152" t="s">
        <v>411</v>
      </c>
      <c r="AH129" s="270">
        <v>1245.96</v>
      </c>
      <c r="AI129" s="65">
        <v>1246.96</v>
      </c>
      <c r="AJ129" s="65">
        <v>1247.96</v>
      </c>
      <c r="AK129" s="65">
        <v>1248.96</v>
      </c>
      <c r="AL129" s="65">
        <v>1249.96</v>
      </c>
      <c r="AM129" s="196"/>
      <c r="AN129" s="66">
        <v>1142.1300000000001</v>
      </c>
      <c r="AO129" s="270">
        <v>52</v>
      </c>
      <c r="AP129" s="65">
        <v>64</v>
      </c>
      <c r="AQ129" s="65">
        <v>56</v>
      </c>
      <c r="AR129" s="65">
        <v>72</v>
      </c>
      <c r="AS129" s="65">
        <v>52</v>
      </c>
      <c r="AT129" s="196"/>
      <c r="AU129" s="66">
        <v>0</v>
      </c>
      <c r="AV129" s="276">
        <f t="shared" ref="AV129:AZ129" si="238">AO129/AH129</f>
        <v>4.173488715528588E-2</v>
      </c>
      <c r="AW129" s="67">
        <f t="shared" si="238"/>
        <v>5.1324821967023801E-2</v>
      </c>
      <c r="AX129" s="67">
        <f t="shared" si="238"/>
        <v>4.4873233116446039E-2</v>
      </c>
      <c r="AY129" s="67">
        <f t="shared" si="238"/>
        <v>5.764796310530361E-2</v>
      </c>
      <c r="AZ129" s="67">
        <f t="shared" si="238"/>
        <v>4.1601331242599765E-2</v>
      </c>
      <c r="BA129" s="190"/>
      <c r="BB129" s="68">
        <f t="shared" si="226"/>
        <v>0</v>
      </c>
      <c r="BC129" s="276" t="s">
        <v>226</v>
      </c>
      <c r="BD129" s="69">
        <f>(AW129-$AV129)*100</f>
        <v>0.95899348117379213</v>
      </c>
      <c r="BE129" s="69">
        <f>(AX129-$AV129)*100</f>
        <v>0.31383459611601594</v>
      </c>
      <c r="BF129" s="69">
        <f t="shared" ref="BF129:BG129" si="239">(AY129-$AV129)*100</f>
        <v>1.591307595001773</v>
      </c>
      <c r="BG129" s="69">
        <f t="shared" si="239"/>
        <v>-1.3355591268611466E-2</v>
      </c>
      <c r="BH129" s="199"/>
      <c r="BI129" s="70">
        <f t="shared" ref="BI129:BI139" si="240">(BB129-$AV129)*100</f>
        <v>-4.1734887155285882</v>
      </c>
      <c r="BJ129" s="60" t="s">
        <v>226</v>
      </c>
      <c r="BK129" s="71">
        <f t="shared" ref="BK129:BN129" si="241">(AW129-AV129)*100</f>
        <v>0.95899348117379213</v>
      </c>
      <c r="BL129" s="71">
        <f t="shared" si="241"/>
        <v>-0.64515888505777619</v>
      </c>
      <c r="BM129" s="71">
        <f t="shared" si="241"/>
        <v>1.2774729988857572</v>
      </c>
      <c r="BN129" s="71">
        <f t="shared" si="241"/>
        <v>-1.6046631862703844</v>
      </c>
      <c r="BO129" s="200"/>
      <c r="BP129" s="72"/>
      <c r="BQ129" s="276">
        <f t="shared" ref="BQ129:BS129" si="242">T129/M129</f>
        <v>0</v>
      </c>
      <c r="BR129" s="67">
        <f t="shared" si="242"/>
        <v>0</v>
      </c>
      <c r="BS129" s="67">
        <f t="shared" si="242"/>
        <v>0</v>
      </c>
      <c r="BT129" s="190"/>
      <c r="BU129" s="68"/>
      <c r="BV129" s="175"/>
      <c r="BW129" s="73"/>
    </row>
    <row r="130" spans="1:75" x14ac:dyDescent="0.25">
      <c r="A130" s="13">
        <v>103</v>
      </c>
      <c r="B130" s="59" t="s">
        <v>60</v>
      </c>
      <c r="C130" s="60">
        <v>0</v>
      </c>
      <c r="D130" s="61">
        <v>0</v>
      </c>
      <c r="E130" s="145">
        <v>0</v>
      </c>
      <c r="F130" s="145"/>
      <c r="G130" s="62"/>
      <c r="H130" s="60">
        <v>61</v>
      </c>
      <c r="I130" s="61">
        <v>61</v>
      </c>
      <c r="J130" s="145">
        <v>61</v>
      </c>
      <c r="K130" s="145"/>
      <c r="L130" s="62"/>
      <c r="M130" s="60">
        <v>8</v>
      </c>
      <c r="N130" s="61">
        <v>9</v>
      </c>
      <c r="O130" s="145">
        <v>18</v>
      </c>
      <c r="P130" s="145"/>
      <c r="Q130" s="62"/>
      <c r="R130" s="60">
        <v>2</v>
      </c>
      <c r="S130" s="61">
        <v>0</v>
      </c>
      <c r="T130" s="61">
        <v>1</v>
      </c>
      <c r="U130" s="61">
        <v>0</v>
      </c>
      <c r="V130" s="145">
        <v>2</v>
      </c>
      <c r="W130" s="145"/>
      <c r="X130" s="62"/>
      <c r="Y130" s="60">
        <v>14.82</v>
      </c>
      <c r="Z130" s="61">
        <v>18.53</v>
      </c>
      <c r="AA130" s="61">
        <v>18.53</v>
      </c>
      <c r="AB130" s="61">
        <v>20.38</v>
      </c>
      <c r="AC130" s="61">
        <v>20.38</v>
      </c>
      <c r="AD130" s="61"/>
      <c r="AE130" s="61"/>
      <c r="AF130" s="61"/>
      <c r="AG130" s="62"/>
      <c r="AH130" s="270">
        <v>11832</v>
      </c>
      <c r="AI130" s="65">
        <v>13890</v>
      </c>
      <c r="AJ130" s="65">
        <v>14711</v>
      </c>
      <c r="AK130" s="65">
        <v>18389</v>
      </c>
      <c r="AL130" s="196">
        <v>20228</v>
      </c>
      <c r="AM130" s="196"/>
      <c r="AN130" s="66"/>
      <c r="AO130" s="270">
        <v>1965</v>
      </c>
      <c r="AP130" s="65">
        <v>2777</v>
      </c>
      <c r="AQ130" s="65">
        <v>3890</v>
      </c>
      <c r="AR130" s="65">
        <v>5658</v>
      </c>
      <c r="AS130" s="196">
        <v>9174</v>
      </c>
      <c r="AT130" s="196"/>
      <c r="AU130" s="66"/>
      <c r="AV130" s="276">
        <f t="shared" ref="AV130:AZ130" si="243">AO130/AH130</f>
        <v>0.16607505070993914</v>
      </c>
      <c r="AW130" s="67">
        <f t="shared" si="243"/>
        <v>0.19992800575953923</v>
      </c>
      <c r="AX130" s="67">
        <f t="shared" si="243"/>
        <v>0.26442797906328597</v>
      </c>
      <c r="AY130" s="67">
        <f t="shared" si="243"/>
        <v>0.30768394148675837</v>
      </c>
      <c r="AZ130" s="190">
        <f t="shared" si="243"/>
        <v>0.45352976072770418</v>
      </c>
      <c r="BA130" s="190"/>
      <c r="BB130" s="190"/>
      <c r="BC130" s="276" t="s">
        <v>226</v>
      </c>
      <c r="BD130" s="69">
        <f t="shared" ref="BD130:BG130" si="244">(AW130-$AV130)*100</f>
        <v>3.3852955049600091</v>
      </c>
      <c r="BE130" s="69">
        <f t="shared" si="244"/>
        <v>9.8352928353346822</v>
      </c>
      <c r="BF130" s="69">
        <f t="shared" si="244"/>
        <v>14.160889077681924</v>
      </c>
      <c r="BG130" s="199">
        <f t="shared" si="244"/>
        <v>28.745471001776501</v>
      </c>
      <c r="BH130" s="199"/>
      <c r="BI130" s="70"/>
      <c r="BJ130" s="60" t="s">
        <v>226</v>
      </c>
      <c r="BK130" s="71">
        <f t="shared" ref="BK130:BN130" si="245">(AW130-AV130)*100</f>
        <v>3.3852955049600091</v>
      </c>
      <c r="BL130" s="71">
        <f t="shared" si="245"/>
        <v>6.449997330374674</v>
      </c>
      <c r="BM130" s="71">
        <f t="shared" si="245"/>
        <v>4.3255962423472401</v>
      </c>
      <c r="BN130" s="200">
        <f t="shared" si="245"/>
        <v>14.58458192409458</v>
      </c>
      <c r="BO130" s="200"/>
      <c r="BP130" s="200"/>
      <c r="BQ130" s="276">
        <f t="shared" ref="BQ130:BS130" si="246">T130/M130</f>
        <v>0.125</v>
      </c>
      <c r="BR130" s="67">
        <f t="shared" si="246"/>
        <v>0</v>
      </c>
      <c r="BS130" s="67">
        <f t="shared" si="246"/>
        <v>0.1111111111111111</v>
      </c>
      <c r="BT130" s="67"/>
      <c r="BU130" s="68"/>
      <c r="BV130" s="175"/>
      <c r="BW130" s="73"/>
    </row>
    <row r="131" spans="1:75" x14ac:dyDescent="0.25">
      <c r="A131" s="13">
        <v>104</v>
      </c>
      <c r="B131" s="59" t="s">
        <v>281</v>
      </c>
      <c r="C131" s="60">
        <v>8</v>
      </c>
      <c r="D131" s="61">
        <v>8</v>
      </c>
      <c r="E131" s="145">
        <v>8</v>
      </c>
      <c r="F131" s="145"/>
      <c r="G131" s="62"/>
      <c r="H131" s="60">
        <v>259</v>
      </c>
      <c r="I131" s="61">
        <v>258</v>
      </c>
      <c r="J131" s="145">
        <v>261</v>
      </c>
      <c r="K131" s="145"/>
      <c r="L131" s="62"/>
      <c r="M131" s="60">
        <v>116</v>
      </c>
      <c r="N131" s="61">
        <v>116</v>
      </c>
      <c r="O131" s="145">
        <v>84</v>
      </c>
      <c r="P131" s="145"/>
      <c r="Q131" s="62"/>
      <c r="R131" s="60"/>
      <c r="S131" s="61"/>
      <c r="T131" s="61"/>
      <c r="U131" s="61"/>
      <c r="V131" s="145"/>
      <c r="W131" s="145"/>
      <c r="X131" s="62"/>
      <c r="Y131" s="60" t="s">
        <v>105</v>
      </c>
      <c r="Z131" s="61">
        <v>31.34</v>
      </c>
      <c r="AA131" s="61">
        <v>34.450000000000003</v>
      </c>
      <c r="AB131" s="61">
        <v>33.64</v>
      </c>
      <c r="AC131" s="61">
        <v>33.64</v>
      </c>
      <c r="AD131" s="61"/>
      <c r="AE131" s="61"/>
      <c r="AF131" s="61"/>
      <c r="AG131" s="62"/>
      <c r="AH131" s="270">
        <v>4079.5</v>
      </c>
      <c r="AI131" s="65">
        <v>39984.46</v>
      </c>
      <c r="AJ131" s="65">
        <v>55225.33</v>
      </c>
      <c r="AK131" s="65">
        <v>60208.89</v>
      </c>
      <c r="AL131" s="196">
        <v>53059.18</v>
      </c>
      <c r="AM131" s="196"/>
      <c r="AN131" s="66"/>
      <c r="AO131" s="270">
        <v>3420.23</v>
      </c>
      <c r="AP131" s="65">
        <v>5677.8</v>
      </c>
      <c r="AQ131" s="65">
        <v>7405.24</v>
      </c>
      <c r="AR131" s="65">
        <v>12661.39</v>
      </c>
      <c r="AS131" s="196">
        <v>12415.36</v>
      </c>
      <c r="AT131" s="196"/>
      <c r="AU131" s="66"/>
      <c r="AV131" s="276">
        <f t="shared" ref="AV131:AZ132" si="247">AO131/AH131</f>
        <v>0.83839441107978918</v>
      </c>
      <c r="AW131" s="67">
        <f t="shared" si="247"/>
        <v>0.14200016706490473</v>
      </c>
      <c r="AX131" s="67">
        <f t="shared" si="247"/>
        <v>0.13409136713171294</v>
      </c>
      <c r="AY131" s="67">
        <f t="shared" si="247"/>
        <v>0.21029103841641988</v>
      </c>
      <c r="AZ131" s="190">
        <f t="shared" si="247"/>
        <v>0.2339908004609193</v>
      </c>
      <c r="BA131" s="190"/>
      <c r="BB131" s="190"/>
      <c r="BC131" s="276" t="s">
        <v>226</v>
      </c>
      <c r="BD131" s="69">
        <f t="shared" ref="BD131:BG132" si="248">(AW131-$AV131)*100</f>
        <v>-69.639424401488441</v>
      </c>
      <c r="BE131" s="69">
        <f t="shared" si="248"/>
        <v>-70.430304394807621</v>
      </c>
      <c r="BF131" s="69">
        <f t="shared" si="248"/>
        <v>-62.810337266336937</v>
      </c>
      <c r="BG131" s="199">
        <f t="shared" si="248"/>
        <v>-60.440361061886996</v>
      </c>
      <c r="BH131" s="199"/>
      <c r="BI131" s="70"/>
      <c r="BJ131" s="60" t="s">
        <v>226</v>
      </c>
      <c r="BK131" s="71">
        <f t="shared" ref="BK131:BN132" si="249">(AW131-AV131)*100</f>
        <v>-69.639424401488441</v>
      </c>
      <c r="BL131" s="71">
        <f t="shared" si="249"/>
        <v>-0.79087999331917958</v>
      </c>
      <c r="BM131" s="71">
        <f t="shared" si="249"/>
        <v>7.6199671284706945</v>
      </c>
      <c r="BN131" s="200">
        <f t="shared" si="249"/>
        <v>2.3699762044499417</v>
      </c>
      <c r="BO131" s="200"/>
      <c r="BP131" s="200"/>
      <c r="BQ131" s="276">
        <f t="shared" ref="BQ131:BS132" si="250">T131/M131</f>
        <v>0</v>
      </c>
      <c r="BR131" s="67">
        <f t="shared" si="250"/>
        <v>0</v>
      </c>
      <c r="BS131" s="67">
        <f t="shared" si="250"/>
        <v>0</v>
      </c>
      <c r="BT131" s="67"/>
      <c r="BU131" s="68"/>
      <c r="BV131" s="175"/>
      <c r="BW131" s="73"/>
    </row>
    <row r="132" spans="1:75" x14ac:dyDescent="0.25">
      <c r="A132" s="13">
        <v>104</v>
      </c>
      <c r="B132" s="59" t="s">
        <v>106</v>
      </c>
      <c r="C132" s="60">
        <v>0</v>
      </c>
      <c r="D132" s="61">
        <v>0</v>
      </c>
      <c r="E132" s="145">
        <v>0</v>
      </c>
      <c r="F132" s="145"/>
      <c r="G132" s="62"/>
      <c r="H132" s="60">
        <v>265</v>
      </c>
      <c r="I132" s="61">
        <v>569</v>
      </c>
      <c r="J132" s="145">
        <v>564</v>
      </c>
      <c r="K132" s="145"/>
      <c r="L132" s="62"/>
      <c r="M132" s="60">
        <v>56</v>
      </c>
      <c r="N132" s="61">
        <v>86</v>
      </c>
      <c r="O132" s="145">
        <v>83</v>
      </c>
      <c r="P132" s="145"/>
      <c r="Q132" s="62"/>
      <c r="R132" s="60">
        <v>3</v>
      </c>
      <c r="S132" s="61">
        <v>4</v>
      </c>
      <c r="T132" s="61">
        <v>0</v>
      </c>
      <c r="U132" s="61">
        <v>0</v>
      </c>
      <c r="V132" s="145">
        <v>0</v>
      </c>
      <c r="W132" s="145"/>
      <c r="X132" s="62"/>
      <c r="Y132" s="60">
        <v>19.18</v>
      </c>
      <c r="Z132" s="61">
        <v>26.04</v>
      </c>
      <c r="AA132" s="61">
        <v>33.07</v>
      </c>
      <c r="AB132" s="61">
        <v>29.76</v>
      </c>
      <c r="AC132" s="61">
        <v>29.76</v>
      </c>
      <c r="AD132" s="61"/>
      <c r="AE132" s="61"/>
      <c r="AF132" s="61"/>
      <c r="AG132" s="62"/>
      <c r="AH132" s="270">
        <v>91289</v>
      </c>
      <c r="AI132" s="65">
        <v>128209</v>
      </c>
      <c r="AJ132" s="65">
        <v>166931</v>
      </c>
      <c r="AK132" s="65">
        <v>194041</v>
      </c>
      <c r="AL132" s="196">
        <v>185682</v>
      </c>
      <c r="AM132" s="196"/>
      <c r="AN132" s="66"/>
      <c r="AO132" s="270">
        <v>16898</v>
      </c>
      <c r="AP132" s="65">
        <v>18803</v>
      </c>
      <c r="AQ132" s="65">
        <v>28496</v>
      </c>
      <c r="AR132" s="65">
        <v>47284</v>
      </c>
      <c r="AS132" s="196">
        <v>74313</v>
      </c>
      <c r="AT132" s="196"/>
      <c r="AU132" s="66"/>
      <c r="AV132" s="276">
        <f t="shared" si="247"/>
        <v>0.18510444850967805</v>
      </c>
      <c r="AW132" s="67">
        <f t="shared" si="247"/>
        <v>0.14665897089907884</v>
      </c>
      <c r="AX132" s="67">
        <f t="shared" si="247"/>
        <v>0.17070526145533185</v>
      </c>
      <c r="AY132" s="67">
        <f t="shared" si="247"/>
        <v>0.24368045928437804</v>
      </c>
      <c r="AZ132" s="190">
        <f t="shared" si="247"/>
        <v>0.4002164991760106</v>
      </c>
      <c r="BA132" s="190"/>
      <c r="BB132" s="190"/>
      <c r="BC132" s="276" t="s">
        <v>226</v>
      </c>
      <c r="BD132" s="69">
        <f t="shared" si="248"/>
        <v>-3.8445477610599217</v>
      </c>
      <c r="BE132" s="69">
        <f t="shared" si="248"/>
        <v>-1.4399187054346201</v>
      </c>
      <c r="BF132" s="69">
        <f t="shared" si="248"/>
        <v>5.8576010774699983</v>
      </c>
      <c r="BG132" s="199">
        <f t="shared" si="248"/>
        <v>21.511205066633256</v>
      </c>
      <c r="BH132" s="199"/>
      <c r="BI132" s="70"/>
      <c r="BJ132" s="60" t="s">
        <v>226</v>
      </c>
      <c r="BK132" s="71">
        <f t="shared" si="249"/>
        <v>-3.8445477610599217</v>
      </c>
      <c r="BL132" s="71">
        <f t="shared" si="249"/>
        <v>2.4046290556253016</v>
      </c>
      <c r="BM132" s="71">
        <f t="shared" si="249"/>
        <v>7.2975197829046188</v>
      </c>
      <c r="BN132" s="200">
        <f t="shared" si="249"/>
        <v>15.653603989163257</v>
      </c>
      <c r="BO132" s="200"/>
      <c r="BP132" s="200"/>
      <c r="BQ132" s="276">
        <f t="shared" si="250"/>
        <v>0</v>
      </c>
      <c r="BR132" s="67">
        <f t="shared" si="250"/>
        <v>0</v>
      </c>
      <c r="BS132" s="67">
        <f t="shared" si="250"/>
        <v>0</v>
      </c>
      <c r="BT132" s="67"/>
      <c r="BU132" s="68"/>
      <c r="BV132" s="175"/>
      <c r="BW132" s="73"/>
    </row>
    <row r="133" spans="1:75" x14ac:dyDescent="0.25">
      <c r="A133" s="13">
        <v>105</v>
      </c>
      <c r="B133" s="59" t="s">
        <v>420</v>
      </c>
      <c r="C133" s="60"/>
      <c r="D133" s="61"/>
      <c r="E133" s="61"/>
      <c r="F133" s="145">
        <v>0</v>
      </c>
      <c r="G133" s="62">
        <v>0</v>
      </c>
      <c r="H133" s="60"/>
      <c r="I133" s="61"/>
      <c r="J133" s="61"/>
      <c r="K133" s="145">
        <v>650</v>
      </c>
      <c r="L133" s="62">
        <v>633</v>
      </c>
      <c r="M133" s="60"/>
      <c r="N133" s="61"/>
      <c r="O133" s="61"/>
      <c r="P133" s="145">
        <v>209</v>
      </c>
      <c r="Q133" s="62">
        <v>270</v>
      </c>
      <c r="R133" s="60"/>
      <c r="S133" s="61"/>
      <c r="T133" s="61"/>
      <c r="U133" s="61"/>
      <c r="V133" s="61"/>
      <c r="W133" s="145">
        <v>8</v>
      </c>
      <c r="X133" s="62">
        <v>0</v>
      </c>
      <c r="Y133" s="60"/>
      <c r="Z133" s="61"/>
      <c r="AA133" s="61"/>
      <c r="AB133" s="145"/>
      <c r="AC133" s="61"/>
      <c r="AD133" s="91"/>
      <c r="AE133" s="61"/>
      <c r="AF133" s="152"/>
      <c r="AG133" s="64">
        <v>27.28</v>
      </c>
      <c r="AH133" s="270"/>
      <c r="AI133" s="65"/>
      <c r="AJ133" s="65"/>
      <c r="AK133" s="65"/>
      <c r="AL133" s="65"/>
      <c r="AM133" s="196">
        <v>112017</v>
      </c>
      <c r="AN133" s="66">
        <v>182899</v>
      </c>
      <c r="AO133" s="60"/>
      <c r="AP133" s="61"/>
      <c r="AQ133" s="61"/>
      <c r="AR133" s="61"/>
      <c r="AS133" s="61"/>
      <c r="AT133" s="145">
        <v>46400</v>
      </c>
      <c r="AU133" s="62">
        <v>3999</v>
      </c>
      <c r="AV133" s="276"/>
      <c r="AW133" s="67"/>
      <c r="AX133" s="67"/>
      <c r="AY133" s="67"/>
      <c r="AZ133" s="67"/>
      <c r="BA133" s="190">
        <f t="shared" ref="BA133" si="251">AT133/AM133</f>
        <v>0.41422284117589292</v>
      </c>
      <c r="BB133" s="68">
        <f t="shared" si="226"/>
        <v>2.1864526323271315E-2</v>
      </c>
      <c r="BC133" s="276" t="s">
        <v>226</v>
      </c>
      <c r="BD133" s="69"/>
      <c r="BE133" s="69"/>
      <c r="BF133" s="69"/>
      <c r="BG133" s="69"/>
      <c r="BH133" s="199"/>
      <c r="BI133" s="70"/>
      <c r="BJ133" s="60" t="s">
        <v>226</v>
      </c>
      <c r="BK133" s="71"/>
      <c r="BL133" s="71"/>
      <c r="BM133" s="71"/>
      <c r="BN133" s="71"/>
      <c r="BO133" s="200"/>
      <c r="BP133" s="72">
        <f t="shared" si="152"/>
        <v>-39.23583148526216</v>
      </c>
      <c r="BQ133" s="276"/>
      <c r="BR133" s="67"/>
      <c r="BS133" s="67"/>
      <c r="BT133" s="190">
        <f t="shared" ref="BT133" si="252">W133/P133</f>
        <v>3.8277511961722487E-2</v>
      </c>
      <c r="BU133" s="68">
        <f t="shared" si="233"/>
        <v>0</v>
      </c>
      <c r="BV133" s="175"/>
      <c r="BW133" s="73">
        <f t="shared" si="235"/>
        <v>0.291866028708134</v>
      </c>
    </row>
    <row r="134" spans="1:75" x14ac:dyDescent="0.25">
      <c r="A134" s="13">
        <v>105</v>
      </c>
      <c r="B134" s="59" t="s">
        <v>107</v>
      </c>
      <c r="C134" s="60">
        <v>11</v>
      </c>
      <c r="D134" s="61">
        <v>11</v>
      </c>
      <c r="E134" s="145">
        <v>11</v>
      </c>
      <c r="F134" s="145"/>
      <c r="G134" s="62"/>
      <c r="H134" s="60">
        <v>240</v>
      </c>
      <c r="I134" s="61">
        <v>240</v>
      </c>
      <c r="J134" s="145">
        <v>240</v>
      </c>
      <c r="K134" s="145"/>
      <c r="L134" s="62"/>
      <c r="M134" s="60">
        <v>26</v>
      </c>
      <c r="N134" s="61">
        <v>31</v>
      </c>
      <c r="O134" s="145">
        <v>55</v>
      </c>
      <c r="P134" s="145"/>
      <c r="Q134" s="62"/>
      <c r="R134" s="60">
        <v>2</v>
      </c>
      <c r="S134" s="61">
        <v>1</v>
      </c>
      <c r="T134" s="61">
        <v>0</v>
      </c>
      <c r="U134" s="61">
        <v>0</v>
      </c>
      <c r="V134" s="145">
        <v>0</v>
      </c>
      <c r="W134" s="145"/>
      <c r="X134" s="62"/>
      <c r="Y134" s="60">
        <v>16.59</v>
      </c>
      <c r="Z134" s="61"/>
      <c r="AA134" s="61">
        <v>19.89</v>
      </c>
      <c r="AB134" s="61"/>
      <c r="AC134" s="61" t="s">
        <v>108</v>
      </c>
      <c r="AD134" s="61"/>
      <c r="AE134" s="61"/>
      <c r="AF134" s="61"/>
      <c r="AG134" s="62"/>
      <c r="AH134" s="270">
        <v>30012</v>
      </c>
      <c r="AI134" s="65">
        <v>42362</v>
      </c>
      <c r="AJ134" s="65">
        <v>46856</v>
      </c>
      <c r="AK134" s="65">
        <v>46855</v>
      </c>
      <c r="AL134" s="196">
        <v>54921</v>
      </c>
      <c r="AM134" s="196"/>
      <c r="AN134" s="66"/>
      <c r="AO134" s="270">
        <v>14255</v>
      </c>
      <c r="AP134" s="65">
        <v>16340</v>
      </c>
      <c r="AQ134" s="65">
        <v>17820</v>
      </c>
      <c r="AR134" s="65">
        <v>19340</v>
      </c>
      <c r="AS134" s="196">
        <v>23250</v>
      </c>
      <c r="AT134" s="196"/>
      <c r="AU134" s="66"/>
      <c r="AV134" s="276">
        <f t="shared" ref="AV134:AZ136" si="253">AO134/AH134</f>
        <v>0.47497667599626814</v>
      </c>
      <c r="AW134" s="67">
        <f t="shared" si="253"/>
        <v>0.38572305368018506</v>
      </c>
      <c r="AX134" s="67">
        <f t="shared" si="253"/>
        <v>0.38031415400375618</v>
      </c>
      <c r="AY134" s="67">
        <f t="shared" si="253"/>
        <v>0.41276277878561518</v>
      </c>
      <c r="AZ134" s="190">
        <f t="shared" si="253"/>
        <v>0.42333533621019281</v>
      </c>
      <c r="BA134" s="190"/>
      <c r="BB134" s="190"/>
      <c r="BC134" s="276" t="s">
        <v>226</v>
      </c>
      <c r="BD134" s="69">
        <f t="shared" ref="BD134:BG136" si="254">(AW134-$AV134)*100</f>
        <v>-8.9253622316083074</v>
      </c>
      <c r="BE134" s="69">
        <f t="shared" si="254"/>
        <v>-9.4662521992511959</v>
      </c>
      <c r="BF134" s="69">
        <f t="shared" si="254"/>
        <v>-6.2213897210652958</v>
      </c>
      <c r="BG134" s="199">
        <f t="shared" si="254"/>
        <v>-5.1641339786075324</v>
      </c>
      <c r="BH134" s="199"/>
      <c r="BI134" s="70"/>
      <c r="BJ134" s="60" t="s">
        <v>226</v>
      </c>
      <c r="BK134" s="71">
        <f t="shared" ref="BK134:BN136" si="255">(AW134-AV134)*100</f>
        <v>-8.9253622316083074</v>
      </c>
      <c r="BL134" s="71">
        <f t="shared" si="255"/>
        <v>-0.54088996764288799</v>
      </c>
      <c r="BM134" s="71">
        <f t="shared" si="255"/>
        <v>3.2448624781859001</v>
      </c>
      <c r="BN134" s="200">
        <f t="shared" si="255"/>
        <v>1.0572557424577633</v>
      </c>
      <c r="BO134" s="200"/>
      <c r="BP134" s="200"/>
      <c r="BQ134" s="276">
        <f t="shared" ref="BQ134:BT140" si="256">T134/M134</f>
        <v>0</v>
      </c>
      <c r="BR134" s="67">
        <f t="shared" si="256"/>
        <v>0</v>
      </c>
      <c r="BS134" s="67">
        <f t="shared" si="256"/>
        <v>0</v>
      </c>
      <c r="BT134" s="67"/>
      <c r="BU134" s="68"/>
      <c r="BV134" s="175"/>
      <c r="BW134" s="73"/>
    </row>
    <row r="135" spans="1:75" x14ac:dyDescent="0.25">
      <c r="A135" s="13">
        <v>105</v>
      </c>
      <c r="B135" s="59" t="s">
        <v>282</v>
      </c>
      <c r="C135" s="60">
        <v>0</v>
      </c>
      <c r="D135" s="61">
        <v>0</v>
      </c>
      <c r="E135" s="145">
        <v>0</v>
      </c>
      <c r="F135" s="145"/>
      <c r="G135" s="62"/>
      <c r="H135" s="60">
        <v>106</v>
      </c>
      <c r="I135" s="61">
        <v>106</v>
      </c>
      <c r="J135" s="145">
        <v>106</v>
      </c>
      <c r="K135" s="145"/>
      <c r="L135" s="62"/>
      <c r="M135" s="60">
        <v>43</v>
      </c>
      <c r="N135" s="61">
        <v>44</v>
      </c>
      <c r="O135" s="145">
        <v>62</v>
      </c>
      <c r="P135" s="145"/>
      <c r="Q135" s="62"/>
      <c r="R135" s="60"/>
      <c r="S135" s="61"/>
      <c r="T135" s="61"/>
      <c r="U135" s="61"/>
      <c r="V135" s="145"/>
      <c r="W135" s="145"/>
      <c r="X135" s="62"/>
      <c r="Y135" s="60">
        <v>9.75</v>
      </c>
      <c r="Z135" s="63">
        <v>16.5</v>
      </c>
      <c r="AA135" s="61">
        <v>20.260000000000002</v>
      </c>
      <c r="AB135" s="61">
        <v>21.27</v>
      </c>
      <c r="AC135" s="61">
        <v>27.28</v>
      </c>
      <c r="AD135" s="61"/>
      <c r="AE135" s="61"/>
      <c r="AF135" s="61"/>
      <c r="AG135" s="62"/>
      <c r="AH135" s="270">
        <v>21499.96</v>
      </c>
      <c r="AI135" s="65">
        <v>20851.86</v>
      </c>
      <c r="AJ135" s="65">
        <v>25590.58</v>
      </c>
      <c r="AK135" s="65">
        <v>29788.28</v>
      </c>
      <c r="AL135" s="196">
        <v>31441.17</v>
      </c>
      <c r="AM135" s="196"/>
      <c r="AN135" s="66"/>
      <c r="AO135" s="270">
        <v>1495.28</v>
      </c>
      <c r="AP135" s="65">
        <v>95.27</v>
      </c>
      <c r="AQ135" s="65">
        <v>1085.93</v>
      </c>
      <c r="AR135" s="65">
        <v>1649.3</v>
      </c>
      <c r="AS135" s="196">
        <v>3189.87</v>
      </c>
      <c r="AT135" s="196"/>
      <c r="AU135" s="66"/>
      <c r="AV135" s="276">
        <f t="shared" si="253"/>
        <v>6.9548036368439758E-2</v>
      </c>
      <c r="AW135" s="67">
        <f t="shared" si="253"/>
        <v>4.5688969713013608E-3</v>
      </c>
      <c r="AX135" s="67">
        <f t="shared" si="253"/>
        <v>4.2434755288860197E-2</v>
      </c>
      <c r="AY135" s="67">
        <f t="shared" si="253"/>
        <v>5.5367412955699358E-2</v>
      </c>
      <c r="AZ135" s="190">
        <f t="shared" si="253"/>
        <v>0.10145519393839351</v>
      </c>
      <c r="BA135" s="190"/>
      <c r="BB135" s="190"/>
      <c r="BC135" s="276" t="s">
        <v>226</v>
      </c>
      <c r="BD135" s="69">
        <f t="shared" si="254"/>
        <v>-6.4979139397138397</v>
      </c>
      <c r="BE135" s="69">
        <f t="shared" si="254"/>
        <v>-2.7113281079579563</v>
      </c>
      <c r="BF135" s="69">
        <f t="shared" si="254"/>
        <v>-1.4180623412740401</v>
      </c>
      <c r="BG135" s="199">
        <f t="shared" si="254"/>
        <v>3.1907157569953757</v>
      </c>
      <c r="BH135" s="199"/>
      <c r="BI135" s="70"/>
      <c r="BJ135" s="60" t="s">
        <v>226</v>
      </c>
      <c r="BK135" s="71">
        <f t="shared" si="255"/>
        <v>-6.4979139397138397</v>
      </c>
      <c r="BL135" s="71">
        <f t="shared" si="255"/>
        <v>3.7865858317558834</v>
      </c>
      <c r="BM135" s="71">
        <f t="shared" si="255"/>
        <v>1.293265766683916</v>
      </c>
      <c r="BN135" s="200">
        <f t="shared" si="255"/>
        <v>4.6087780982694158</v>
      </c>
      <c r="BO135" s="200"/>
      <c r="BP135" s="200"/>
      <c r="BQ135" s="276">
        <f t="shared" si="256"/>
        <v>0</v>
      </c>
      <c r="BR135" s="67">
        <f t="shared" si="256"/>
        <v>0</v>
      </c>
      <c r="BS135" s="67">
        <f t="shared" si="256"/>
        <v>0</v>
      </c>
      <c r="BT135" s="67"/>
      <c r="BU135" s="68"/>
      <c r="BV135" s="175"/>
      <c r="BW135" s="73"/>
    </row>
    <row r="136" spans="1:75" x14ac:dyDescent="0.25">
      <c r="A136" s="13">
        <v>105</v>
      </c>
      <c r="B136" s="59" t="s">
        <v>283</v>
      </c>
      <c r="C136" s="60">
        <v>0</v>
      </c>
      <c r="D136" s="61">
        <v>0</v>
      </c>
      <c r="E136" s="145">
        <v>0</v>
      </c>
      <c r="F136" s="145"/>
      <c r="G136" s="62"/>
      <c r="H136" s="60">
        <v>176</v>
      </c>
      <c r="I136" s="61">
        <v>176</v>
      </c>
      <c r="J136" s="145">
        <v>176</v>
      </c>
      <c r="K136" s="145"/>
      <c r="L136" s="62"/>
      <c r="M136" s="60">
        <v>36</v>
      </c>
      <c r="N136" s="61">
        <v>38</v>
      </c>
      <c r="O136" s="145">
        <v>33</v>
      </c>
      <c r="P136" s="145"/>
      <c r="Q136" s="62"/>
      <c r="R136" s="60">
        <v>0</v>
      </c>
      <c r="S136" s="61">
        <v>9</v>
      </c>
      <c r="T136" s="61">
        <v>0</v>
      </c>
      <c r="U136" s="61">
        <v>1</v>
      </c>
      <c r="V136" s="145">
        <v>0</v>
      </c>
      <c r="W136" s="145"/>
      <c r="X136" s="62"/>
      <c r="Y136" s="60" t="s">
        <v>109</v>
      </c>
      <c r="Z136" s="61"/>
      <c r="AA136" s="61"/>
      <c r="AB136" s="61"/>
      <c r="AC136" s="61" t="s">
        <v>99</v>
      </c>
      <c r="AD136" s="61"/>
      <c r="AE136" s="61"/>
      <c r="AF136" s="61"/>
      <c r="AG136" s="62"/>
      <c r="AH136" s="270">
        <v>27358</v>
      </c>
      <c r="AI136" s="65">
        <v>28183</v>
      </c>
      <c r="AJ136" s="65">
        <v>28197</v>
      </c>
      <c r="AK136" s="65">
        <v>29198</v>
      </c>
      <c r="AL136" s="196">
        <v>27125</v>
      </c>
      <c r="AM136" s="196"/>
      <c r="AN136" s="66"/>
      <c r="AO136" s="270">
        <v>21772</v>
      </c>
      <c r="AP136" s="65">
        <v>17095</v>
      </c>
      <c r="AQ136" s="65">
        <v>11093</v>
      </c>
      <c r="AR136" s="65">
        <v>10126</v>
      </c>
      <c r="AS136" s="196">
        <v>13051</v>
      </c>
      <c r="AT136" s="196"/>
      <c r="AU136" s="66"/>
      <c r="AV136" s="276">
        <f t="shared" si="253"/>
        <v>0.79581840777834634</v>
      </c>
      <c r="AW136" s="67">
        <f t="shared" si="253"/>
        <v>0.6065713373310152</v>
      </c>
      <c r="AX136" s="67">
        <f t="shared" si="253"/>
        <v>0.39341064652267971</v>
      </c>
      <c r="AY136" s="67">
        <f t="shared" si="253"/>
        <v>0.34680457565586686</v>
      </c>
      <c r="AZ136" s="190">
        <f t="shared" si="253"/>
        <v>0.48114285714285715</v>
      </c>
      <c r="BA136" s="190"/>
      <c r="BB136" s="190"/>
      <c r="BC136" s="276" t="s">
        <v>226</v>
      </c>
      <c r="BD136" s="69">
        <f t="shared" si="254"/>
        <v>-18.924707044733115</v>
      </c>
      <c r="BE136" s="69">
        <f t="shared" si="254"/>
        <v>-40.240776125566661</v>
      </c>
      <c r="BF136" s="69">
        <f t="shared" si="254"/>
        <v>-44.90138321224795</v>
      </c>
      <c r="BG136" s="199">
        <f t="shared" si="254"/>
        <v>-31.467555063548918</v>
      </c>
      <c r="BH136" s="199"/>
      <c r="BI136" s="70"/>
      <c r="BJ136" s="60" t="s">
        <v>226</v>
      </c>
      <c r="BK136" s="71">
        <f t="shared" si="255"/>
        <v>-18.924707044733115</v>
      </c>
      <c r="BL136" s="71">
        <f t="shared" si="255"/>
        <v>-21.31606908083355</v>
      </c>
      <c r="BM136" s="71">
        <f t="shared" si="255"/>
        <v>-4.6606070866812841</v>
      </c>
      <c r="BN136" s="200">
        <f t="shared" si="255"/>
        <v>13.433828148699028</v>
      </c>
      <c r="BO136" s="200"/>
      <c r="BP136" s="200"/>
      <c r="BQ136" s="276">
        <f t="shared" si="256"/>
        <v>0</v>
      </c>
      <c r="BR136" s="67">
        <f t="shared" si="256"/>
        <v>2.6315789473684209E-2</v>
      </c>
      <c r="BS136" s="67">
        <f t="shared" si="256"/>
        <v>0</v>
      </c>
      <c r="BT136" s="67"/>
      <c r="BU136" s="68"/>
      <c r="BV136" s="175"/>
      <c r="BW136" s="73"/>
    </row>
    <row r="137" spans="1:75" x14ac:dyDescent="0.25">
      <c r="A137" s="13">
        <v>105</v>
      </c>
      <c r="B137" s="59" t="s">
        <v>111</v>
      </c>
      <c r="C137" s="60">
        <v>4</v>
      </c>
      <c r="D137" s="61">
        <v>4</v>
      </c>
      <c r="E137" s="145">
        <v>4</v>
      </c>
      <c r="F137" s="145"/>
      <c r="G137" s="62"/>
      <c r="H137" s="60">
        <v>74</v>
      </c>
      <c r="I137" s="61">
        <v>74</v>
      </c>
      <c r="J137" s="145">
        <v>74</v>
      </c>
      <c r="K137" s="145"/>
      <c r="L137" s="62"/>
      <c r="M137" s="60">
        <v>30</v>
      </c>
      <c r="N137" s="61">
        <v>30</v>
      </c>
      <c r="O137" s="145">
        <v>34</v>
      </c>
      <c r="P137" s="145"/>
      <c r="Q137" s="62"/>
      <c r="R137" s="60"/>
      <c r="S137" s="61"/>
      <c r="T137" s="61"/>
      <c r="U137" s="61"/>
      <c r="V137" s="145"/>
      <c r="W137" s="145"/>
      <c r="X137" s="62"/>
      <c r="Y137" s="60" t="s">
        <v>112</v>
      </c>
      <c r="Z137" s="61"/>
      <c r="AA137" s="61" t="s">
        <v>113</v>
      </c>
      <c r="AB137" s="61"/>
      <c r="AC137" s="61" t="s">
        <v>114</v>
      </c>
      <c r="AD137" s="61"/>
      <c r="AE137" s="61"/>
      <c r="AF137" s="61"/>
      <c r="AG137" s="62"/>
      <c r="AH137" s="270"/>
      <c r="AI137" s="65">
        <v>7819.83</v>
      </c>
      <c r="AJ137" s="65">
        <v>9519.01</v>
      </c>
      <c r="AK137" s="65">
        <v>11598.16</v>
      </c>
      <c r="AL137" s="196">
        <v>10970.99</v>
      </c>
      <c r="AM137" s="196"/>
      <c r="AN137" s="66"/>
      <c r="AO137" s="270"/>
      <c r="AP137" s="65">
        <v>608.64</v>
      </c>
      <c r="AQ137" s="65">
        <v>1117.72</v>
      </c>
      <c r="AR137" s="65">
        <v>2416.1799999999998</v>
      </c>
      <c r="AS137" s="196">
        <v>4260.3599999999997</v>
      </c>
      <c r="AT137" s="196"/>
      <c r="AU137" s="66"/>
      <c r="AV137" s="276"/>
      <c r="AW137" s="67">
        <f t="shared" ref="AW137:BA139" si="257">AP137/AI137</f>
        <v>7.7832894065472016E-2</v>
      </c>
      <c r="AX137" s="67">
        <f t="shared" si="257"/>
        <v>0.11741977369495357</v>
      </c>
      <c r="AY137" s="67">
        <f t="shared" si="257"/>
        <v>0.20832442387413175</v>
      </c>
      <c r="AZ137" s="190">
        <f t="shared" si="257"/>
        <v>0.38832958557067321</v>
      </c>
      <c r="BA137" s="190"/>
      <c r="BB137" s="190"/>
      <c r="BC137" s="276" t="s">
        <v>226</v>
      </c>
      <c r="BD137" s="69"/>
      <c r="BE137" s="69"/>
      <c r="BF137" s="69"/>
      <c r="BG137" s="199"/>
      <c r="BH137" s="199"/>
      <c r="BI137" s="70"/>
      <c r="BJ137" s="60" t="s">
        <v>226</v>
      </c>
      <c r="BK137" s="71"/>
      <c r="BL137" s="71">
        <f t="shared" ref="BL137:BO139" si="258">(AX137-AW137)*100</f>
        <v>3.9586879629481557</v>
      </c>
      <c r="BM137" s="71">
        <f t="shared" si="258"/>
        <v>9.0904650179178184</v>
      </c>
      <c r="BN137" s="200">
        <f t="shared" si="258"/>
        <v>18.000516169654148</v>
      </c>
      <c r="BO137" s="200"/>
      <c r="BP137" s="200"/>
      <c r="BQ137" s="276">
        <f t="shared" si="256"/>
        <v>0</v>
      </c>
      <c r="BR137" s="67">
        <f t="shared" si="256"/>
        <v>0</v>
      </c>
      <c r="BS137" s="67">
        <f t="shared" si="256"/>
        <v>0</v>
      </c>
      <c r="BT137" s="67"/>
      <c r="BU137" s="68"/>
      <c r="BV137" s="175"/>
      <c r="BW137" s="73"/>
    </row>
    <row r="138" spans="1:75" x14ac:dyDescent="0.25">
      <c r="A138" s="13">
        <v>107</v>
      </c>
      <c r="B138" s="59" t="s">
        <v>194</v>
      </c>
      <c r="C138" s="60">
        <v>0</v>
      </c>
      <c r="D138" s="61">
        <v>0</v>
      </c>
      <c r="E138" s="61">
        <v>0</v>
      </c>
      <c r="F138" s="145">
        <v>5</v>
      </c>
      <c r="G138" s="62">
        <v>1</v>
      </c>
      <c r="H138" s="60">
        <v>96</v>
      </c>
      <c r="I138" s="61">
        <v>96</v>
      </c>
      <c r="J138" s="61">
        <v>96</v>
      </c>
      <c r="K138" s="145">
        <v>188</v>
      </c>
      <c r="L138" s="62">
        <v>9</v>
      </c>
      <c r="M138" s="60">
        <v>31</v>
      </c>
      <c r="N138" s="61">
        <v>24</v>
      </c>
      <c r="O138" s="61">
        <v>29</v>
      </c>
      <c r="P138" s="145">
        <v>51</v>
      </c>
      <c r="Q138" s="62">
        <v>2</v>
      </c>
      <c r="R138" s="60">
        <v>0</v>
      </c>
      <c r="S138" s="61">
        <v>0</v>
      </c>
      <c r="T138" s="61">
        <v>0</v>
      </c>
      <c r="U138" s="61">
        <v>0</v>
      </c>
      <c r="V138" s="61">
        <v>1</v>
      </c>
      <c r="W138" s="145">
        <v>4</v>
      </c>
      <c r="X138" s="62">
        <v>0</v>
      </c>
      <c r="Y138" s="60" t="s">
        <v>141</v>
      </c>
      <c r="Z138" s="61" t="s">
        <v>141</v>
      </c>
      <c r="AA138" s="61" t="s">
        <v>195</v>
      </c>
      <c r="AB138" s="145" t="s">
        <v>195</v>
      </c>
      <c r="AC138" s="61" t="s">
        <v>195</v>
      </c>
      <c r="AD138" s="91">
        <v>0.7</v>
      </c>
      <c r="AE138" s="61">
        <v>0.7</v>
      </c>
      <c r="AF138" s="145" t="s">
        <v>195</v>
      </c>
      <c r="AG138" s="62" t="s">
        <v>134</v>
      </c>
      <c r="AH138" s="270">
        <v>15753</v>
      </c>
      <c r="AI138" s="65">
        <v>23102</v>
      </c>
      <c r="AJ138" s="65">
        <v>26829</v>
      </c>
      <c r="AK138" s="65">
        <v>28165</v>
      </c>
      <c r="AL138" s="65">
        <v>26639</v>
      </c>
      <c r="AM138" s="196">
        <v>27612</v>
      </c>
      <c r="AN138" s="66">
        <v>1986</v>
      </c>
      <c r="AO138" s="270">
        <v>1521</v>
      </c>
      <c r="AP138" s="65">
        <v>3395</v>
      </c>
      <c r="AQ138" s="65">
        <v>3532</v>
      </c>
      <c r="AR138" s="65">
        <v>3301</v>
      </c>
      <c r="AS138" s="65">
        <v>2002</v>
      </c>
      <c r="AT138" s="196">
        <v>8283</v>
      </c>
      <c r="AU138" s="66">
        <v>121</v>
      </c>
      <c r="AV138" s="276">
        <f t="shared" ref="AV138:AV139" si="259">AO138/AH138</f>
        <v>9.6553037516663498E-2</v>
      </c>
      <c r="AW138" s="67">
        <f t="shared" si="257"/>
        <v>0.14695697342221453</v>
      </c>
      <c r="AX138" s="67">
        <f t="shared" si="257"/>
        <v>0.13164858921316486</v>
      </c>
      <c r="AY138" s="67">
        <f t="shared" si="257"/>
        <v>0.11720220131368721</v>
      </c>
      <c r="AZ138" s="67">
        <f t="shared" si="257"/>
        <v>7.5152971207627914E-2</v>
      </c>
      <c r="BA138" s="190">
        <f t="shared" si="257"/>
        <v>0.29997827031725338</v>
      </c>
      <c r="BB138" s="68">
        <f t="shared" si="226"/>
        <v>6.0926485397784488E-2</v>
      </c>
      <c r="BC138" s="276" t="s">
        <v>226</v>
      </c>
      <c r="BD138" s="69">
        <f t="shared" ref="BD138:BH139" si="260">(AW138-$AV138)*100</f>
        <v>5.0403935905551034</v>
      </c>
      <c r="BE138" s="69">
        <f t="shared" si="260"/>
        <v>3.5095551696501359</v>
      </c>
      <c r="BF138" s="69">
        <f t="shared" si="260"/>
        <v>2.0649163797023711</v>
      </c>
      <c r="BG138" s="69">
        <f t="shared" si="260"/>
        <v>-2.1400066309035584</v>
      </c>
      <c r="BH138" s="199">
        <f t="shared" si="260"/>
        <v>20.342523280058987</v>
      </c>
      <c r="BI138" s="70">
        <f t="shared" si="240"/>
        <v>-3.5626552118879009</v>
      </c>
      <c r="BJ138" s="60" t="s">
        <v>226</v>
      </c>
      <c r="BK138" s="71">
        <f t="shared" ref="BK138:BK139" si="261">(AW138-AV138)*100</f>
        <v>5.0403935905551034</v>
      </c>
      <c r="BL138" s="71">
        <f t="shared" si="258"/>
        <v>-1.5308384209049675</v>
      </c>
      <c r="BM138" s="71">
        <f t="shared" si="258"/>
        <v>-1.4446387899477651</v>
      </c>
      <c r="BN138" s="71">
        <f t="shared" si="258"/>
        <v>-4.2049230106059294</v>
      </c>
      <c r="BO138" s="200">
        <f t="shared" si="258"/>
        <v>22.482529910962544</v>
      </c>
      <c r="BP138" s="72">
        <f t="shared" ref="BP138:BP139" si="262">(BB138-BA138)*100</f>
        <v>-23.905178491946888</v>
      </c>
      <c r="BQ138" s="276">
        <f t="shared" si="256"/>
        <v>0</v>
      </c>
      <c r="BR138" s="67">
        <f t="shared" si="256"/>
        <v>0</v>
      </c>
      <c r="BS138" s="67">
        <f t="shared" si="256"/>
        <v>3.4482758620689655E-2</v>
      </c>
      <c r="BT138" s="190">
        <f t="shared" si="256"/>
        <v>7.8431372549019607E-2</v>
      </c>
      <c r="BU138" s="68">
        <f t="shared" si="233"/>
        <v>0</v>
      </c>
      <c r="BV138" s="175"/>
      <c r="BW138" s="73">
        <f t="shared" si="235"/>
        <v>-0.96078431372549022</v>
      </c>
    </row>
    <row r="139" spans="1:75" x14ac:dyDescent="0.25">
      <c r="A139" s="13">
        <v>107</v>
      </c>
      <c r="B139" s="59" t="s">
        <v>201</v>
      </c>
      <c r="C139" s="60">
        <v>4</v>
      </c>
      <c r="D139" s="61">
        <v>4</v>
      </c>
      <c r="E139" s="61">
        <v>4</v>
      </c>
      <c r="F139" s="145">
        <v>0</v>
      </c>
      <c r="G139" s="62">
        <v>5</v>
      </c>
      <c r="H139" s="60">
        <v>300</v>
      </c>
      <c r="I139" s="61">
        <v>324</v>
      </c>
      <c r="J139" s="61">
        <v>328</v>
      </c>
      <c r="K139" s="145">
        <v>234</v>
      </c>
      <c r="L139" s="62">
        <v>278</v>
      </c>
      <c r="M139" s="60">
        <v>243</v>
      </c>
      <c r="N139" s="61">
        <v>285</v>
      </c>
      <c r="O139" s="61">
        <v>289</v>
      </c>
      <c r="P139" s="145">
        <v>223</v>
      </c>
      <c r="Q139" s="62">
        <v>342</v>
      </c>
      <c r="R139" s="60">
        <v>0</v>
      </c>
      <c r="S139" s="61">
        <v>0</v>
      </c>
      <c r="T139" s="61">
        <v>0</v>
      </c>
      <c r="U139" s="61">
        <v>0</v>
      </c>
      <c r="V139" s="61">
        <v>0</v>
      </c>
      <c r="W139" s="145">
        <v>0</v>
      </c>
      <c r="X139" s="62">
        <v>0</v>
      </c>
      <c r="Y139" s="60" t="s">
        <v>127</v>
      </c>
      <c r="Z139" s="61" t="s">
        <v>127</v>
      </c>
      <c r="AA139" s="61" t="s">
        <v>127</v>
      </c>
      <c r="AB139" s="145" t="s">
        <v>127</v>
      </c>
      <c r="AC139" s="61" t="s">
        <v>127</v>
      </c>
      <c r="AD139" s="91">
        <v>0.6</v>
      </c>
      <c r="AE139" s="61">
        <v>0.6</v>
      </c>
      <c r="AF139" s="145" t="s">
        <v>127</v>
      </c>
      <c r="AG139" s="145" t="s">
        <v>127</v>
      </c>
      <c r="AH139" s="270">
        <v>20843</v>
      </c>
      <c r="AI139" s="65">
        <v>21000</v>
      </c>
      <c r="AJ139" s="65">
        <v>22007</v>
      </c>
      <c r="AK139" s="65">
        <v>22840</v>
      </c>
      <c r="AL139" s="65">
        <v>22526</v>
      </c>
      <c r="AM139" s="196">
        <v>31018</v>
      </c>
      <c r="AN139" s="66">
        <v>29103</v>
      </c>
      <c r="AO139" s="270">
        <v>14000</v>
      </c>
      <c r="AP139" s="65">
        <v>15520</v>
      </c>
      <c r="AQ139" s="65">
        <v>14800</v>
      </c>
      <c r="AR139" s="65">
        <v>15696</v>
      </c>
      <c r="AS139" s="65">
        <v>14123</v>
      </c>
      <c r="AT139" s="196">
        <v>24262</v>
      </c>
      <c r="AU139" s="66">
        <v>10562</v>
      </c>
      <c r="AV139" s="276">
        <f t="shared" si="259"/>
        <v>0.67168833661181215</v>
      </c>
      <c r="AW139" s="67">
        <f t="shared" si="257"/>
        <v>0.73904761904761906</v>
      </c>
      <c r="AX139" s="67">
        <f t="shared" si="257"/>
        <v>0.67251329122551917</v>
      </c>
      <c r="AY139" s="67">
        <f t="shared" si="257"/>
        <v>0.68721541155866905</v>
      </c>
      <c r="AZ139" s="67">
        <f t="shared" si="257"/>
        <v>0.62696439669714998</v>
      </c>
      <c r="BA139" s="190">
        <f t="shared" si="257"/>
        <v>0.78219098587916691</v>
      </c>
      <c r="BB139" s="68">
        <f t="shared" si="226"/>
        <v>0.36291791224272413</v>
      </c>
      <c r="BC139" s="276" t="s">
        <v>226</v>
      </c>
      <c r="BD139" s="69">
        <f t="shared" si="260"/>
        <v>6.7359282435806911</v>
      </c>
      <c r="BE139" s="69">
        <f t="shared" si="260"/>
        <v>8.249546137070185E-2</v>
      </c>
      <c r="BF139" s="69">
        <f t="shared" si="260"/>
        <v>1.55270749468569</v>
      </c>
      <c r="BG139" s="69">
        <f t="shared" si="260"/>
        <v>-4.472393991466217</v>
      </c>
      <c r="BH139" s="199">
        <f t="shared" si="260"/>
        <v>11.050264926735476</v>
      </c>
      <c r="BI139" s="70">
        <f t="shared" si="240"/>
        <v>-30.877042436908802</v>
      </c>
      <c r="BJ139" s="60" t="s">
        <v>226</v>
      </c>
      <c r="BK139" s="71">
        <f t="shared" si="261"/>
        <v>6.7359282435806911</v>
      </c>
      <c r="BL139" s="71">
        <f t="shared" si="258"/>
        <v>-6.6534327822099897</v>
      </c>
      <c r="BM139" s="71">
        <f t="shared" si="258"/>
        <v>1.4702120333149882</v>
      </c>
      <c r="BN139" s="71">
        <f t="shared" si="258"/>
        <v>-6.0251014861519074</v>
      </c>
      <c r="BO139" s="200">
        <f t="shared" si="258"/>
        <v>15.522658918201692</v>
      </c>
      <c r="BP139" s="72">
        <f t="shared" si="262"/>
        <v>-41.927307363644282</v>
      </c>
      <c r="BQ139" s="276">
        <f t="shared" si="256"/>
        <v>0</v>
      </c>
      <c r="BR139" s="67">
        <f t="shared" si="256"/>
        <v>0</v>
      </c>
      <c r="BS139" s="67">
        <f t="shared" si="256"/>
        <v>0</v>
      </c>
      <c r="BT139" s="190">
        <f t="shared" si="256"/>
        <v>0</v>
      </c>
      <c r="BU139" s="68">
        <f t="shared" si="233"/>
        <v>0</v>
      </c>
      <c r="BV139" s="175"/>
      <c r="BW139" s="73">
        <f t="shared" si="235"/>
        <v>0.53363228699551568</v>
      </c>
    </row>
    <row r="140" spans="1:75" s="22" customFormat="1" ht="15.75" thickBot="1" x14ac:dyDescent="0.3">
      <c r="A140" s="95">
        <v>109</v>
      </c>
      <c r="B140" s="309" t="s">
        <v>64</v>
      </c>
      <c r="C140" s="96">
        <v>10</v>
      </c>
      <c r="D140" s="97">
        <v>10</v>
      </c>
      <c r="E140" s="195">
        <v>10</v>
      </c>
      <c r="F140" s="195"/>
      <c r="G140" s="98"/>
      <c r="H140" s="96">
        <v>278</v>
      </c>
      <c r="I140" s="97">
        <v>281</v>
      </c>
      <c r="J140" s="195">
        <v>280</v>
      </c>
      <c r="K140" s="195"/>
      <c r="L140" s="98"/>
      <c r="M140" s="96">
        <v>28</v>
      </c>
      <c r="N140" s="97">
        <v>26</v>
      </c>
      <c r="O140" s="195">
        <v>19</v>
      </c>
      <c r="P140" s="195"/>
      <c r="Q140" s="98"/>
      <c r="R140" s="96">
        <v>0</v>
      </c>
      <c r="S140" s="97">
        <v>0</v>
      </c>
      <c r="T140" s="97">
        <v>0</v>
      </c>
      <c r="U140" s="97">
        <v>0</v>
      </c>
      <c r="V140" s="195">
        <v>0</v>
      </c>
      <c r="W140" s="195"/>
      <c r="X140" s="98"/>
      <c r="Y140" s="96"/>
      <c r="Z140" s="97"/>
      <c r="AA140" s="228"/>
      <c r="AB140" s="228"/>
      <c r="AC140" s="228"/>
      <c r="AD140" s="97"/>
      <c r="AE140" s="97"/>
      <c r="AF140" s="228"/>
      <c r="AG140" s="229"/>
      <c r="AH140" s="272">
        <v>23152</v>
      </c>
      <c r="AI140" s="99">
        <v>23071</v>
      </c>
      <c r="AJ140" s="99">
        <v>23175</v>
      </c>
      <c r="AK140" s="99">
        <v>23495</v>
      </c>
      <c r="AL140" s="197">
        <v>23613</v>
      </c>
      <c r="AM140" s="197"/>
      <c r="AN140" s="100"/>
      <c r="AO140" s="96">
        <v>2975</v>
      </c>
      <c r="AP140" s="97">
        <v>3066</v>
      </c>
      <c r="AQ140" s="97">
        <v>2685</v>
      </c>
      <c r="AR140" s="97">
        <v>2949</v>
      </c>
      <c r="AS140" s="195">
        <v>1375</v>
      </c>
      <c r="AT140" s="195"/>
      <c r="AU140" s="98"/>
      <c r="AV140" s="280"/>
      <c r="AW140" s="101"/>
      <c r="AX140" s="101"/>
      <c r="AY140" s="101"/>
      <c r="AZ140" s="198"/>
      <c r="BA140" s="198"/>
      <c r="BB140" s="317"/>
      <c r="BC140" s="280" t="s">
        <v>226</v>
      </c>
      <c r="BD140" s="283"/>
      <c r="BE140" s="283"/>
      <c r="BF140" s="283"/>
      <c r="BG140" s="284"/>
      <c r="BH140" s="284"/>
      <c r="BI140" s="202"/>
      <c r="BJ140" s="96" t="s">
        <v>226</v>
      </c>
      <c r="BK140" s="288"/>
      <c r="BL140" s="288"/>
      <c r="BM140" s="288"/>
      <c r="BN140" s="289"/>
      <c r="BO140" s="289"/>
      <c r="BP140" s="289"/>
      <c r="BQ140" s="280">
        <f t="shared" si="256"/>
        <v>0</v>
      </c>
      <c r="BR140" s="101">
        <f t="shared" si="256"/>
        <v>0</v>
      </c>
      <c r="BS140" s="101">
        <f t="shared" si="256"/>
        <v>0</v>
      </c>
      <c r="BT140" s="101"/>
      <c r="BU140" s="102"/>
      <c r="BV140" s="175"/>
      <c r="BW140" s="415"/>
    </row>
    <row r="141" spans="1:75" ht="15.75" thickBot="1" x14ac:dyDescent="0.3">
      <c r="A141" s="204"/>
      <c r="B141" s="205" t="s">
        <v>360</v>
      </c>
      <c r="C141" s="308">
        <f t="shared" ref="C141:X141" si="263">SUM(C3:C140)</f>
        <v>583</v>
      </c>
      <c r="D141" s="308">
        <f t="shared" si="263"/>
        <v>646</v>
      </c>
      <c r="E141" s="308">
        <f t="shared" si="263"/>
        <v>681</v>
      </c>
      <c r="F141" s="308">
        <f t="shared" si="263"/>
        <v>430</v>
      </c>
      <c r="G141" s="308">
        <f t="shared" si="263"/>
        <v>479</v>
      </c>
      <c r="H141" s="308">
        <f t="shared" si="263"/>
        <v>12974</v>
      </c>
      <c r="I141" s="308">
        <f t="shared" si="263"/>
        <v>13372</v>
      </c>
      <c r="J141" s="308">
        <f t="shared" si="263"/>
        <v>12788</v>
      </c>
      <c r="K141" s="308">
        <f t="shared" si="263"/>
        <v>14474</v>
      </c>
      <c r="L141" s="308">
        <f t="shared" si="263"/>
        <v>12968</v>
      </c>
      <c r="M141" s="311">
        <f t="shared" si="263"/>
        <v>4015</v>
      </c>
      <c r="N141" s="311">
        <f t="shared" si="263"/>
        <v>5979</v>
      </c>
      <c r="O141" s="311">
        <f t="shared" si="263"/>
        <v>5515</v>
      </c>
      <c r="P141" s="311">
        <f t="shared" si="263"/>
        <v>7232</v>
      </c>
      <c r="Q141" s="311">
        <f t="shared" si="263"/>
        <v>5072</v>
      </c>
      <c r="R141" s="311">
        <f t="shared" si="263"/>
        <v>203</v>
      </c>
      <c r="S141" s="311">
        <f t="shared" si="263"/>
        <v>150</v>
      </c>
      <c r="T141" s="311">
        <f t="shared" si="263"/>
        <v>153</v>
      </c>
      <c r="U141" s="311">
        <f t="shared" si="263"/>
        <v>284</v>
      </c>
      <c r="V141" s="311">
        <f t="shared" si="263"/>
        <v>347</v>
      </c>
      <c r="W141" s="311">
        <f t="shared" si="263"/>
        <v>670</v>
      </c>
      <c r="X141" s="311">
        <f t="shared" si="263"/>
        <v>579</v>
      </c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14">
        <f t="shared" ref="AH141:AU141" si="264">SUM(AH3:AH140)</f>
        <v>3603499.6399999997</v>
      </c>
      <c r="AI141" s="314">
        <f t="shared" si="264"/>
        <v>3998525.6499999994</v>
      </c>
      <c r="AJ141" s="314">
        <f t="shared" si="264"/>
        <v>5273056.5699999994</v>
      </c>
      <c r="AK141" s="314">
        <f t="shared" si="264"/>
        <v>6712231.46</v>
      </c>
      <c r="AL141" s="314">
        <f t="shared" si="264"/>
        <v>6702929.7500000009</v>
      </c>
      <c r="AM141" s="314">
        <f t="shared" si="264"/>
        <v>7312580.4400000013</v>
      </c>
      <c r="AN141" s="314">
        <f t="shared" si="264"/>
        <v>6164990.4799999995</v>
      </c>
      <c r="AO141" s="311">
        <f t="shared" si="264"/>
        <v>340590.17</v>
      </c>
      <c r="AP141" s="311">
        <f t="shared" si="264"/>
        <v>336662.54000000004</v>
      </c>
      <c r="AQ141" s="311">
        <f t="shared" si="264"/>
        <v>516264.61999999994</v>
      </c>
      <c r="AR141" s="311">
        <f t="shared" si="264"/>
        <v>873743.79</v>
      </c>
      <c r="AS141" s="311">
        <f t="shared" si="264"/>
        <v>1250628.7300000002</v>
      </c>
      <c r="AT141" s="311">
        <f t="shared" si="264"/>
        <v>1398494.6499999997</v>
      </c>
      <c r="AU141" s="311">
        <f t="shared" si="264"/>
        <v>913243.72</v>
      </c>
      <c r="AV141" s="315"/>
      <c r="AW141" s="315"/>
      <c r="AX141" s="315"/>
      <c r="AY141" s="315"/>
      <c r="AZ141" s="315"/>
      <c r="BA141" s="315"/>
      <c r="BB141" s="109"/>
      <c r="BC141" s="316"/>
      <c r="BD141" s="316"/>
      <c r="BE141" s="316"/>
      <c r="BF141" s="316"/>
      <c r="BG141" s="316"/>
      <c r="BH141" s="316"/>
      <c r="BI141" s="316"/>
      <c r="BJ141" s="316"/>
      <c r="BK141" s="316"/>
      <c r="BL141" s="316"/>
      <c r="BM141" s="316"/>
      <c r="BN141" s="316"/>
      <c r="BO141" s="316"/>
      <c r="BP141" s="316"/>
      <c r="BQ141" s="315"/>
      <c r="BR141" s="315"/>
      <c r="BS141" s="315"/>
      <c r="BT141" s="315"/>
      <c r="BU141" s="315"/>
      <c r="BV141" s="109"/>
      <c r="BW141" s="109"/>
    </row>
    <row r="142" spans="1:75" ht="15.75" thickBot="1" x14ac:dyDescent="0.3">
      <c r="A142" s="206"/>
      <c r="B142" s="207" t="s">
        <v>361</v>
      </c>
      <c r="C142" s="206"/>
      <c r="D142" s="206"/>
      <c r="E142" s="206"/>
      <c r="F142" s="206"/>
      <c r="G142" s="206"/>
      <c r="H142" s="206"/>
      <c r="I142" s="206"/>
      <c r="J142" s="206"/>
      <c r="K142" s="206"/>
      <c r="L142" s="206"/>
      <c r="M142" s="208">
        <f t="shared" ref="M142:BB142" si="265">AVERAGE(M3:M140)</f>
        <v>44.611111111111114</v>
      </c>
      <c r="N142" s="208">
        <f t="shared" si="265"/>
        <v>66.433333333333337</v>
      </c>
      <c r="O142" s="208">
        <f t="shared" si="265"/>
        <v>60.604395604395606</v>
      </c>
      <c r="P142" s="208">
        <f t="shared" si="265"/>
        <v>82.181818181818187</v>
      </c>
      <c r="Q142" s="208">
        <f t="shared" si="265"/>
        <v>60.38095238095238</v>
      </c>
      <c r="R142" s="208">
        <f t="shared" si="265"/>
        <v>2.475609756097561</v>
      </c>
      <c r="S142" s="208">
        <f t="shared" si="265"/>
        <v>1.8518518518518519</v>
      </c>
      <c r="T142" s="208">
        <f t="shared" si="265"/>
        <v>1.8658536585365855</v>
      </c>
      <c r="U142" s="208">
        <f t="shared" si="265"/>
        <v>3.4216867469879517</v>
      </c>
      <c r="V142" s="208">
        <f t="shared" si="265"/>
        <v>4.1807228915662646</v>
      </c>
      <c r="W142" s="208">
        <f t="shared" si="265"/>
        <v>7.6136363636363633</v>
      </c>
      <c r="X142" s="208">
        <f t="shared" si="265"/>
        <v>6.8928571428571432</v>
      </c>
      <c r="Y142" s="312">
        <f t="shared" si="265"/>
        <v>20.80712121212121</v>
      </c>
      <c r="Z142" s="231">
        <f t="shared" si="265"/>
        <v>24.313627450980391</v>
      </c>
      <c r="AA142" s="312">
        <f t="shared" si="265"/>
        <v>30.687090909090912</v>
      </c>
      <c r="AB142" s="231">
        <f t="shared" si="265"/>
        <v>31.260370370370381</v>
      </c>
      <c r="AC142" s="312">
        <f t="shared" si="265"/>
        <v>31.150363636363654</v>
      </c>
      <c r="AD142" s="230">
        <f t="shared" si="265"/>
        <v>689.13791666666657</v>
      </c>
      <c r="AE142" s="230">
        <f t="shared" si="265"/>
        <v>977.89791666666679</v>
      </c>
      <c r="AF142" s="231">
        <f t="shared" si="265"/>
        <v>32.730178571428574</v>
      </c>
      <c r="AG142" s="312">
        <f t="shared" si="265"/>
        <v>34.28016949152542</v>
      </c>
      <c r="AH142" s="208">
        <f t="shared" si="265"/>
        <v>47414.468947368419</v>
      </c>
      <c r="AI142" s="208">
        <f t="shared" si="265"/>
        <v>49981.570624999993</v>
      </c>
      <c r="AJ142" s="208">
        <f t="shared" si="265"/>
        <v>62774.482976190469</v>
      </c>
      <c r="AK142" s="208">
        <f t="shared" si="265"/>
        <v>78967.428941176477</v>
      </c>
      <c r="AL142" s="208">
        <f t="shared" si="265"/>
        <v>74476.997222222228</v>
      </c>
      <c r="AM142" s="208">
        <f t="shared" si="265"/>
        <v>85030.005116279091</v>
      </c>
      <c r="AN142" s="208">
        <f t="shared" si="265"/>
        <v>73392.743809523803</v>
      </c>
      <c r="AO142" s="208">
        <f t="shared" si="265"/>
        <v>4665.6187671232874</v>
      </c>
      <c r="AP142" s="208">
        <f t="shared" si="265"/>
        <v>4372.2407792207796</v>
      </c>
      <c r="AQ142" s="208">
        <f t="shared" si="265"/>
        <v>6220.0556626506013</v>
      </c>
      <c r="AR142" s="208">
        <f t="shared" si="265"/>
        <v>10279.338705882354</v>
      </c>
      <c r="AS142" s="208">
        <f t="shared" si="265"/>
        <v>14052.008202247194</v>
      </c>
      <c r="AT142" s="208">
        <f t="shared" si="265"/>
        <v>16074.651149425283</v>
      </c>
      <c r="AU142" s="208">
        <f t="shared" si="265"/>
        <v>10871.949047619048</v>
      </c>
      <c r="AV142" s="201">
        <f t="shared" si="265"/>
        <v>0.19241824936279159</v>
      </c>
      <c r="AW142" s="201">
        <f t="shared" si="265"/>
        <v>0.17010342709070375</v>
      </c>
      <c r="AX142" s="201">
        <f t="shared" si="265"/>
        <v>0.16353133423895463</v>
      </c>
      <c r="AY142" s="201">
        <f t="shared" si="265"/>
        <v>0.20357752427830572</v>
      </c>
      <c r="AZ142" s="201">
        <f t="shared" si="265"/>
        <v>0.27148071854162875</v>
      </c>
      <c r="BA142" s="201">
        <f t="shared" si="265"/>
        <v>0.23003011800806847</v>
      </c>
      <c r="BB142" s="201">
        <f t="shared" si="265"/>
        <v>0.18277902800918921</v>
      </c>
      <c r="BC142" s="206"/>
      <c r="BD142" s="108">
        <f t="shared" ref="BD142:BI142" si="266">AVERAGE(BD3:BD140)</f>
        <v>-2.2992638507733338</v>
      </c>
      <c r="BE142" s="108">
        <f t="shared" si="266"/>
        <v>-3.0188014417908944</v>
      </c>
      <c r="BF142" s="108">
        <f t="shared" si="266"/>
        <v>0.8017146340794844</v>
      </c>
      <c r="BG142" s="108">
        <f t="shared" si="266"/>
        <v>7.0976745692262808</v>
      </c>
      <c r="BH142" s="108">
        <f t="shared" si="266"/>
        <v>6.7670175836897091</v>
      </c>
      <c r="BI142" s="108">
        <f t="shared" si="266"/>
        <v>-1.4637357895102681</v>
      </c>
      <c r="BJ142" s="206"/>
      <c r="BK142" s="108">
        <f t="shared" ref="BK142:BQ142" si="267">AVERAGE(BK3:BK140)</f>
        <v>-1.9897063470930405</v>
      </c>
      <c r="BL142" s="108">
        <f t="shared" si="267"/>
        <v>-0.75170286120183094</v>
      </c>
      <c r="BM142" s="108">
        <f t="shared" si="267"/>
        <v>4.1474460513280329</v>
      </c>
      <c r="BN142" s="108">
        <f t="shared" si="267"/>
        <v>5.9736026625528051</v>
      </c>
      <c r="BO142" s="108">
        <f t="shared" si="267"/>
        <v>-2.3990889285568513</v>
      </c>
      <c r="BP142" s="108">
        <f t="shared" si="267"/>
        <v>-5.1563841530930166</v>
      </c>
      <c r="BQ142" s="337">
        <f t="shared" si="267"/>
        <v>0.1084876987775785</v>
      </c>
      <c r="BR142" s="337">
        <f t="shared" ref="BR142:BU142" si="268">AVERAGE(BR3:BR140)</f>
        <v>7.2191205995880109E-2</v>
      </c>
      <c r="BS142" s="337">
        <f t="shared" si="268"/>
        <v>7.478769212519748E-2</v>
      </c>
      <c r="BT142" s="337">
        <f t="shared" si="268"/>
        <v>0.11961068588970879</v>
      </c>
      <c r="BU142" s="337">
        <f t="shared" si="268"/>
        <v>0.11471946734607126</v>
      </c>
      <c r="BV142" s="206"/>
      <c r="BW142" s="206"/>
    </row>
    <row r="143" spans="1:75" ht="18" x14ac:dyDescent="0.25">
      <c r="B143" s="122"/>
    </row>
    <row r="144" spans="1:75" x14ac:dyDescent="0.25">
      <c r="Q144" s="336"/>
      <c r="AG144" s="336"/>
      <c r="AU144" s="336"/>
      <c r="BB144" s="338"/>
    </row>
  </sheetData>
  <mergeCells count="14">
    <mergeCell ref="Y1:AG1"/>
    <mergeCell ref="BW1:BW2"/>
    <mergeCell ref="BV1:BV2"/>
    <mergeCell ref="AH1:AN1"/>
    <mergeCell ref="AO1:AU1"/>
    <mergeCell ref="AV1:BB1"/>
    <mergeCell ref="BC1:BI1"/>
    <mergeCell ref="BJ1:BP1"/>
    <mergeCell ref="BQ1:BU1"/>
    <mergeCell ref="A1:B1"/>
    <mergeCell ref="C1:G1"/>
    <mergeCell ref="H1:L1"/>
    <mergeCell ref="M1:Q1"/>
    <mergeCell ref="R1:X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W58"/>
  <sheetViews>
    <sheetView workbookViewId="0">
      <pane xSplit="2" ySplit="2" topLeftCell="C3" activePane="bottomRight" state="frozenSplit"/>
      <selection pane="topRight" activeCell="C1" sqref="C1"/>
      <selection pane="bottomLeft" activeCell="A3" sqref="A3"/>
      <selection pane="bottomRight" activeCell="BV32" sqref="BV32"/>
    </sheetView>
  </sheetViews>
  <sheetFormatPr defaultRowHeight="15" x14ac:dyDescent="0.25"/>
  <cols>
    <col min="1" max="1" width="6.28515625" style="9" customWidth="1"/>
    <col min="2" max="2" width="45.28515625" style="131" customWidth="1"/>
    <col min="3" max="24" width="9.140625" style="9"/>
    <col min="25" max="28" width="12.28515625" style="9" customWidth="1"/>
    <col min="29" max="29" width="12.42578125" style="9" customWidth="1"/>
    <col min="30" max="31" width="12.28515625" style="9" hidden="1" customWidth="1"/>
    <col min="32" max="33" width="12.28515625" style="9" customWidth="1"/>
    <col min="34" max="47" width="10.85546875" style="9" customWidth="1"/>
    <col min="48" max="61" width="10.28515625" style="9" customWidth="1"/>
    <col min="62" max="62" width="11.140625" style="9" customWidth="1"/>
    <col min="63" max="63" width="10.28515625" style="9" customWidth="1"/>
    <col min="64" max="68" width="10.140625" style="9" customWidth="1"/>
    <col min="69" max="71" width="10.140625" style="9" bestFit="1" customWidth="1"/>
    <col min="72" max="73" width="10.140625" style="9" customWidth="1"/>
    <col min="74" max="75" width="20.140625" style="9" customWidth="1"/>
    <col min="76" max="16384" width="9.140625" style="9"/>
  </cols>
  <sheetData>
    <row r="1" spans="1:75" s="124" customFormat="1" ht="48.75" customHeight="1" thickBot="1" x14ac:dyDescent="0.3">
      <c r="A1" s="373"/>
      <c r="B1" s="374"/>
      <c r="C1" s="373" t="s">
        <v>73</v>
      </c>
      <c r="D1" s="375"/>
      <c r="E1" s="375"/>
      <c r="F1" s="375"/>
      <c r="G1" s="374"/>
      <c r="H1" s="373" t="s">
        <v>74</v>
      </c>
      <c r="I1" s="375"/>
      <c r="J1" s="375"/>
      <c r="K1" s="375"/>
      <c r="L1" s="374"/>
      <c r="M1" s="373" t="s">
        <v>75</v>
      </c>
      <c r="N1" s="375"/>
      <c r="O1" s="375"/>
      <c r="P1" s="375"/>
      <c r="Q1" s="374"/>
      <c r="R1" s="373" t="s">
        <v>76</v>
      </c>
      <c r="S1" s="375"/>
      <c r="T1" s="375"/>
      <c r="U1" s="375"/>
      <c r="V1" s="375"/>
      <c r="W1" s="375"/>
      <c r="X1" s="374"/>
      <c r="Y1" s="373" t="s">
        <v>72</v>
      </c>
      <c r="Z1" s="375"/>
      <c r="AA1" s="375"/>
      <c r="AB1" s="375"/>
      <c r="AC1" s="375"/>
      <c r="AD1" s="375"/>
      <c r="AE1" s="375"/>
      <c r="AF1" s="375"/>
      <c r="AG1" s="374"/>
      <c r="AH1" s="373" t="s">
        <v>300</v>
      </c>
      <c r="AI1" s="375"/>
      <c r="AJ1" s="375"/>
      <c r="AK1" s="375"/>
      <c r="AL1" s="375"/>
      <c r="AM1" s="375"/>
      <c r="AN1" s="374"/>
      <c r="AO1" s="373" t="s">
        <v>71</v>
      </c>
      <c r="AP1" s="375"/>
      <c r="AQ1" s="375"/>
      <c r="AR1" s="375"/>
      <c r="AS1" s="375"/>
      <c r="AT1" s="375"/>
      <c r="AU1" s="374"/>
      <c r="AV1" s="373" t="s">
        <v>299</v>
      </c>
      <c r="AW1" s="375"/>
      <c r="AX1" s="375"/>
      <c r="AY1" s="375"/>
      <c r="AZ1" s="375"/>
      <c r="BA1" s="375"/>
      <c r="BB1" s="374"/>
      <c r="BC1" s="373" t="s">
        <v>301</v>
      </c>
      <c r="BD1" s="375"/>
      <c r="BE1" s="375"/>
      <c r="BF1" s="375"/>
      <c r="BG1" s="375"/>
      <c r="BH1" s="375"/>
      <c r="BI1" s="374"/>
      <c r="BJ1" s="373" t="s">
        <v>302</v>
      </c>
      <c r="BK1" s="375"/>
      <c r="BL1" s="375"/>
      <c r="BM1" s="375"/>
      <c r="BN1" s="375"/>
      <c r="BO1" s="375"/>
      <c r="BP1" s="374"/>
      <c r="BQ1" s="378" t="s">
        <v>237</v>
      </c>
      <c r="BR1" s="379"/>
      <c r="BS1" s="379"/>
      <c r="BT1" s="379"/>
      <c r="BU1" s="380"/>
      <c r="BV1" s="376" t="s">
        <v>373</v>
      </c>
      <c r="BW1" s="376" t="s">
        <v>374</v>
      </c>
    </row>
    <row r="2" spans="1:75" s="124" customFormat="1" ht="30.75" thickBot="1" x14ac:dyDescent="0.3">
      <c r="A2" s="125" t="s">
        <v>65</v>
      </c>
      <c r="B2" s="126" t="s">
        <v>0</v>
      </c>
      <c r="C2" s="127" t="s">
        <v>66</v>
      </c>
      <c r="D2" s="128" t="s">
        <v>67</v>
      </c>
      <c r="E2" s="129" t="s">
        <v>68</v>
      </c>
      <c r="F2" s="130" t="s">
        <v>319</v>
      </c>
      <c r="G2" s="159" t="s">
        <v>371</v>
      </c>
      <c r="H2" s="318" t="s">
        <v>66</v>
      </c>
      <c r="I2" s="319" t="s">
        <v>67</v>
      </c>
      <c r="J2" s="320" t="s">
        <v>68</v>
      </c>
      <c r="K2" s="321" t="s">
        <v>319</v>
      </c>
      <c r="L2" s="322" t="s">
        <v>371</v>
      </c>
      <c r="M2" s="125" t="s">
        <v>66</v>
      </c>
      <c r="N2" s="159" t="s">
        <v>67</v>
      </c>
      <c r="O2" s="324" t="s">
        <v>68</v>
      </c>
      <c r="P2" s="130" t="s">
        <v>319</v>
      </c>
      <c r="Q2" s="159" t="s">
        <v>371</v>
      </c>
      <c r="R2" s="125" t="s">
        <v>69</v>
      </c>
      <c r="S2" s="159" t="s">
        <v>70</v>
      </c>
      <c r="T2" s="130" t="s">
        <v>66</v>
      </c>
      <c r="U2" s="159" t="s">
        <v>67</v>
      </c>
      <c r="V2" s="324" t="s">
        <v>68</v>
      </c>
      <c r="W2" s="130" t="s">
        <v>319</v>
      </c>
      <c r="X2" s="159" t="s">
        <v>371</v>
      </c>
      <c r="Y2" s="125" t="s">
        <v>69</v>
      </c>
      <c r="Z2" s="159" t="s">
        <v>70</v>
      </c>
      <c r="AA2" s="130" t="s">
        <v>66</v>
      </c>
      <c r="AB2" s="159" t="s">
        <v>67</v>
      </c>
      <c r="AC2" s="324" t="s">
        <v>68</v>
      </c>
      <c r="AD2" s="127" t="s">
        <v>66</v>
      </c>
      <c r="AE2" s="130" t="s">
        <v>68</v>
      </c>
      <c r="AF2" s="130" t="s">
        <v>319</v>
      </c>
      <c r="AG2" s="159" t="s">
        <v>371</v>
      </c>
      <c r="AH2" s="239" t="s">
        <v>220</v>
      </c>
      <c r="AI2" s="325" t="s">
        <v>221</v>
      </c>
      <c r="AJ2" s="241" t="s">
        <v>222</v>
      </c>
      <c r="AK2" s="325" t="s">
        <v>223</v>
      </c>
      <c r="AL2" s="240" t="s">
        <v>224</v>
      </c>
      <c r="AM2" s="325" t="s">
        <v>433</v>
      </c>
      <c r="AN2" s="325" t="s">
        <v>434</v>
      </c>
      <c r="AO2" s="239" t="s">
        <v>220</v>
      </c>
      <c r="AP2" s="325" t="s">
        <v>221</v>
      </c>
      <c r="AQ2" s="241" t="s">
        <v>222</v>
      </c>
      <c r="AR2" s="325" t="s">
        <v>223</v>
      </c>
      <c r="AS2" s="240" t="s">
        <v>224</v>
      </c>
      <c r="AT2" s="325" t="s">
        <v>433</v>
      </c>
      <c r="AU2" s="325" t="s">
        <v>434</v>
      </c>
      <c r="AV2" s="239" t="s">
        <v>220</v>
      </c>
      <c r="AW2" s="325" t="s">
        <v>221</v>
      </c>
      <c r="AX2" s="241" t="s">
        <v>222</v>
      </c>
      <c r="AY2" s="325" t="s">
        <v>223</v>
      </c>
      <c r="AZ2" s="240" t="s">
        <v>225</v>
      </c>
      <c r="BA2" s="325" t="s">
        <v>433</v>
      </c>
      <c r="BB2" s="325" t="s">
        <v>434</v>
      </c>
      <c r="BC2" s="239" t="s">
        <v>220</v>
      </c>
      <c r="BD2" s="325" t="s">
        <v>221</v>
      </c>
      <c r="BE2" s="241" t="s">
        <v>222</v>
      </c>
      <c r="BF2" s="325" t="s">
        <v>223</v>
      </c>
      <c r="BG2" s="240" t="s">
        <v>225</v>
      </c>
      <c r="BH2" s="325" t="s">
        <v>433</v>
      </c>
      <c r="BI2" s="325" t="s">
        <v>434</v>
      </c>
      <c r="BJ2" s="326" t="s">
        <v>220</v>
      </c>
      <c r="BK2" s="327" t="s">
        <v>221</v>
      </c>
      <c r="BL2" s="327" t="s">
        <v>222</v>
      </c>
      <c r="BM2" s="327" t="s">
        <v>223</v>
      </c>
      <c r="BN2" s="328" t="s">
        <v>225</v>
      </c>
      <c r="BO2" s="325" t="s">
        <v>433</v>
      </c>
      <c r="BP2" s="325" t="s">
        <v>434</v>
      </c>
      <c r="BQ2" s="318" t="s">
        <v>227</v>
      </c>
      <c r="BR2" s="319" t="s">
        <v>228</v>
      </c>
      <c r="BS2" s="320" t="s">
        <v>229</v>
      </c>
      <c r="BT2" s="322" t="s">
        <v>319</v>
      </c>
      <c r="BU2" s="159" t="s">
        <v>376</v>
      </c>
      <c r="BV2" s="377"/>
      <c r="BW2" s="377"/>
    </row>
    <row r="3" spans="1:75" x14ac:dyDescent="0.25">
      <c r="A3" s="8">
        <v>1</v>
      </c>
      <c r="B3" s="25" t="s">
        <v>1</v>
      </c>
      <c r="C3" s="245">
        <v>0</v>
      </c>
      <c r="D3" s="26">
        <v>0</v>
      </c>
      <c r="E3" s="26">
        <v>0</v>
      </c>
      <c r="F3" s="209">
        <v>2</v>
      </c>
      <c r="G3" s="27">
        <v>8</v>
      </c>
      <c r="H3" s="245">
        <v>1264</v>
      </c>
      <c r="I3" s="26">
        <v>1264</v>
      </c>
      <c r="J3" s="26">
        <v>1266</v>
      </c>
      <c r="K3" s="209">
        <v>1249</v>
      </c>
      <c r="L3" s="27">
        <v>1091</v>
      </c>
      <c r="M3" s="245">
        <v>71</v>
      </c>
      <c r="N3" s="26">
        <v>159</v>
      </c>
      <c r="O3" s="26">
        <v>182</v>
      </c>
      <c r="P3" s="209">
        <v>215</v>
      </c>
      <c r="Q3" s="27">
        <v>169</v>
      </c>
      <c r="R3" s="245">
        <v>36</v>
      </c>
      <c r="S3" s="26">
        <v>18</v>
      </c>
      <c r="T3" s="26">
        <v>14</v>
      </c>
      <c r="U3" s="26">
        <v>48</v>
      </c>
      <c r="V3" s="26">
        <v>41</v>
      </c>
      <c r="W3" s="209">
        <v>61</v>
      </c>
      <c r="X3" s="27">
        <v>8</v>
      </c>
      <c r="Y3" s="245">
        <f>(18.93+23.54)/2</f>
        <v>21.234999999999999</v>
      </c>
      <c r="Z3" s="26">
        <f>(22.26+39.24)/2</f>
        <v>30.75</v>
      </c>
      <c r="AA3" s="26">
        <f>(22.26+51.43)/2</f>
        <v>36.844999999999999</v>
      </c>
      <c r="AB3" s="209">
        <f>(47.77+32.49)/2</f>
        <v>40.130000000000003</v>
      </c>
      <c r="AC3" s="26">
        <f>(32.49+39.7)/2</f>
        <v>36.094999999999999</v>
      </c>
      <c r="AD3" s="214"/>
      <c r="AE3" s="26"/>
      <c r="AF3" s="257">
        <v>37.42</v>
      </c>
      <c r="AG3" s="169">
        <v>43.06</v>
      </c>
      <c r="AH3" s="269">
        <v>202616</v>
      </c>
      <c r="AI3" s="28">
        <v>194241</v>
      </c>
      <c r="AJ3" s="28">
        <v>244845</v>
      </c>
      <c r="AK3" s="28">
        <v>406834</v>
      </c>
      <c r="AL3" s="28">
        <v>337796</v>
      </c>
      <c r="AM3" s="264">
        <v>373817</v>
      </c>
      <c r="AN3" s="29">
        <v>396441</v>
      </c>
      <c r="AO3" s="269">
        <v>11367</v>
      </c>
      <c r="AP3" s="28">
        <v>10084</v>
      </c>
      <c r="AQ3" s="28">
        <v>15720</v>
      </c>
      <c r="AR3" s="28">
        <v>38938</v>
      </c>
      <c r="AS3" s="28">
        <v>53493</v>
      </c>
      <c r="AT3" s="264">
        <v>68986</v>
      </c>
      <c r="AU3" s="29">
        <v>75755</v>
      </c>
      <c r="AV3" s="275">
        <f t="shared" ref="AV3:BB3" si="0">AO3/AH3</f>
        <v>5.6101196351719507E-2</v>
      </c>
      <c r="AW3" s="30">
        <f t="shared" si="0"/>
        <v>5.1914889235537297E-2</v>
      </c>
      <c r="AX3" s="30">
        <f t="shared" si="0"/>
        <v>6.4203884089934452E-2</v>
      </c>
      <c r="AY3" s="30">
        <f t="shared" si="0"/>
        <v>9.5709798099470542E-2</v>
      </c>
      <c r="AZ3" s="30">
        <f t="shared" si="0"/>
        <v>0.15835889116508189</v>
      </c>
      <c r="BA3" s="233">
        <f t="shared" si="0"/>
        <v>0.18454484413496444</v>
      </c>
      <c r="BB3" s="233">
        <f t="shared" si="0"/>
        <v>0.19108770283598317</v>
      </c>
      <c r="BC3" s="275" t="s">
        <v>226</v>
      </c>
      <c r="BD3" s="31">
        <f t="shared" ref="BD3:BI3" si="1">(AW3-$AV3)*100</f>
        <v>-0.41863071161822096</v>
      </c>
      <c r="BE3" s="31">
        <f t="shared" si="1"/>
        <v>0.81026877382149443</v>
      </c>
      <c r="BF3" s="31">
        <f t="shared" si="1"/>
        <v>3.9608601747751035</v>
      </c>
      <c r="BG3" s="31">
        <f t="shared" si="1"/>
        <v>10.225769481336238</v>
      </c>
      <c r="BH3" s="281">
        <f t="shared" si="1"/>
        <v>12.844364778324493</v>
      </c>
      <c r="BI3" s="281">
        <f t="shared" si="1"/>
        <v>13.498650648426366</v>
      </c>
      <c r="BJ3" s="245" t="s">
        <v>226</v>
      </c>
      <c r="BK3" s="32">
        <f t="shared" ref="BK3:BP3" si="2">(AW3-AV3)*100</f>
        <v>-0.41863071161822096</v>
      </c>
      <c r="BL3" s="32">
        <f t="shared" si="2"/>
        <v>1.2288994854397155</v>
      </c>
      <c r="BM3" s="32">
        <f t="shared" si="2"/>
        <v>3.1505914009536089</v>
      </c>
      <c r="BN3" s="32">
        <f t="shared" si="2"/>
        <v>6.264909306561135</v>
      </c>
      <c r="BO3" s="285">
        <f t="shared" si="2"/>
        <v>2.6185952969882549</v>
      </c>
      <c r="BP3" s="285">
        <f t="shared" si="2"/>
        <v>0.65428587010187278</v>
      </c>
      <c r="BQ3" s="275">
        <f>T3/M3</f>
        <v>0.19718309859154928</v>
      </c>
      <c r="BR3" s="30">
        <f>U3/N3</f>
        <v>0.30188679245283018</v>
      </c>
      <c r="BS3" s="30">
        <f>V3/O3</f>
        <v>0.22527472527472528</v>
      </c>
      <c r="BT3" s="233">
        <f>W3/P3</f>
        <v>0.28372093023255812</v>
      </c>
      <c r="BU3" s="233">
        <f>X3/Q3</f>
        <v>4.7337278106508875E-2</v>
      </c>
      <c r="BV3" s="408">
        <f>(AG3-AF3)/AF3</f>
        <v>0.15072153928380547</v>
      </c>
      <c r="BW3" s="412">
        <f>(Q3-P3)/P3</f>
        <v>-0.21395348837209302</v>
      </c>
    </row>
    <row r="4" spans="1:75" x14ac:dyDescent="0.25">
      <c r="A4" s="12">
        <v>3</v>
      </c>
      <c r="B4" s="17" t="s">
        <v>3</v>
      </c>
      <c r="C4" s="2">
        <v>1</v>
      </c>
      <c r="D4" s="3">
        <v>1</v>
      </c>
      <c r="E4" s="3">
        <v>1</v>
      </c>
      <c r="F4" s="3">
        <v>1</v>
      </c>
      <c r="G4" s="144"/>
      <c r="H4" s="2">
        <v>3505</v>
      </c>
      <c r="I4" s="3">
        <v>3550</v>
      </c>
      <c r="J4" s="3">
        <v>3539</v>
      </c>
      <c r="K4" s="3">
        <v>3582</v>
      </c>
      <c r="L4" s="4"/>
      <c r="M4" s="2">
        <v>351</v>
      </c>
      <c r="N4" s="3">
        <v>790</v>
      </c>
      <c r="O4" s="3">
        <v>929</v>
      </c>
      <c r="P4" s="144">
        <v>1630</v>
      </c>
      <c r="Q4" s="4"/>
      <c r="R4" s="2">
        <v>140</v>
      </c>
      <c r="S4" s="3">
        <v>84</v>
      </c>
      <c r="T4" s="3">
        <v>97</v>
      </c>
      <c r="U4" s="3">
        <v>173</v>
      </c>
      <c r="V4" s="3">
        <v>139</v>
      </c>
      <c r="W4" s="144">
        <v>182</v>
      </c>
      <c r="X4" s="4"/>
      <c r="Y4" s="2">
        <v>20.83</v>
      </c>
      <c r="Z4" s="49">
        <v>24.69</v>
      </c>
      <c r="AA4" s="3">
        <v>33.409999999999997</v>
      </c>
      <c r="AB4" s="144">
        <v>32.15</v>
      </c>
      <c r="AC4" s="3">
        <v>33.950000000000003</v>
      </c>
      <c r="AD4" s="148"/>
      <c r="AE4" s="3"/>
      <c r="AF4" s="49">
        <v>36.18</v>
      </c>
      <c r="AG4" s="86"/>
      <c r="AH4" s="19">
        <v>677327</v>
      </c>
      <c r="AI4" s="20">
        <v>705024</v>
      </c>
      <c r="AJ4" s="20">
        <v>891514</v>
      </c>
      <c r="AK4" s="20">
        <v>1230035</v>
      </c>
      <c r="AL4" s="20">
        <v>949497</v>
      </c>
      <c r="AM4" s="210">
        <v>1072870</v>
      </c>
      <c r="AN4" s="21"/>
      <c r="AO4" s="19">
        <v>95416</v>
      </c>
      <c r="AP4" s="20">
        <v>74353</v>
      </c>
      <c r="AQ4" s="20">
        <v>92106</v>
      </c>
      <c r="AR4" s="20">
        <v>206468</v>
      </c>
      <c r="AS4" s="20">
        <v>270177</v>
      </c>
      <c r="AT4" s="210">
        <v>269333</v>
      </c>
      <c r="AU4" s="210"/>
      <c r="AV4" s="50">
        <v>0.14087139594317072</v>
      </c>
      <c r="AW4" s="51">
        <v>0.10546165804284677</v>
      </c>
      <c r="AX4" s="51">
        <v>0.10331413752335913</v>
      </c>
      <c r="AY4" s="51">
        <v>0.16785538622884716</v>
      </c>
      <c r="AZ4" s="51">
        <v>0.28454750251975519</v>
      </c>
      <c r="BA4" s="51">
        <v>0.25</v>
      </c>
      <c r="BB4" s="211"/>
      <c r="BC4" s="50" t="s">
        <v>226</v>
      </c>
      <c r="BD4" s="53">
        <v>-3.5409737900323952</v>
      </c>
      <c r="BE4" s="53">
        <v>-3.7557258419811586</v>
      </c>
      <c r="BF4" s="53">
        <v>2.698399028567644</v>
      </c>
      <c r="BG4" s="53">
        <v>14.367610657658448</v>
      </c>
      <c r="BH4" s="53">
        <v>10.912860405682901</v>
      </c>
      <c r="BI4" s="212"/>
      <c r="BJ4" s="2" t="s">
        <v>226</v>
      </c>
      <c r="BK4" s="55">
        <v>-3.5409737900323952</v>
      </c>
      <c r="BL4" s="55">
        <v>-0.21475205194876335</v>
      </c>
      <c r="BM4" s="55">
        <v>6.4541248705488021</v>
      </c>
      <c r="BN4" s="55">
        <v>11.669211629090803</v>
      </c>
      <c r="BO4" s="55">
        <v>-3.4547502519755193</v>
      </c>
      <c r="BP4" s="213"/>
      <c r="BQ4" s="50">
        <v>0.27635327635327633</v>
      </c>
      <c r="BR4" s="51">
        <v>0.2189873417721519</v>
      </c>
      <c r="BS4" s="51">
        <v>0.1496232508073197</v>
      </c>
      <c r="BT4" s="51">
        <v>0.1116564417177914</v>
      </c>
      <c r="BU4" s="211"/>
      <c r="BV4" s="409"/>
      <c r="BW4" s="57"/>
    </row>
    <row r="5" spans="1:75" x14ac:dyDescent="0.25">
      <c r="A5" s="12">
        <v>4</v>
      </c>
      <c r="B5" s="17" t="s">
        <v>233</v>
      </c>
      <c r="C5" s="2">
        <v>0</v>
      </c>
      <c r="D5" s="3">
        <v>0</v>
      </c>
      <c r="E5" s="3">
        <v>0</v>
      </c>
      <c r="F5" s="144">
        <v>0</v>
      </c>
      <c r="G5" s="4">
        <v>0</v>
      </c>
      <c r="H5" s="2">
        <v>1284</v>
      </c>
      <c r="I5" s="3">
        <v>1306</v>
      </c>
      <c r="J5" s="3">
        <v>1254</v>
      </c>
      <c r="K5" s="144">
        <v>722</v>
      </c>
      <c r="L5" s="4">
        <v>1283</v>
      </c>
      <c r="M5" s="2">
        <v>109</v>
      </c>
      <c r="N5" s="3">
        <v>158</v>
      </c>
      <c r="O5" s="3">
        <v>216</v>
      </c>
      <c r="P5" s="144">
        <v>348</v>
      </c>
      <c r="Q5" s="4">
        <v>357</v>
      </c>
      <c r="R5" s="2">
        <v>85</v>
      </c>
      <c r="S5" s="3">
        <v>60</v>
      </c>
      <c r="T5" s="3">
        <v>40</v>
      </c>
      <c r="U5" s="3">
        <v>30</v>
      </c>
      <c r="V5" s="3">
        <v>30</v>
      </c>
      <c r="W5" s="144">
        <v>12</v>
      </c>
      <c r="X5" s="4">
        <v>27</v>
      </c>
      <c r="Y5" s="5">
        <v>20</v>
      </c>
      <c r="Z5" s="58">
        <v>26.67</v>
      </c>
      <c r="AA5" s="3">
        <v>30.48</v>
      </c>
      <c r="AB5" s="3">
        <v>41.51</v>
      </c>
      <c r="AC5" s="3">
        <v>41.51</v>
      </c>
      <c r="AD5" s="3"/>
      <c r="AE5" s="3"/>
      <c r="AF5" s="153">
        <v>37.590000000000003</v>
      </c>
      <c r="AG5" s="153">
        <v>37.590000000000003</v>
      </c>
      <c r="AH5" s="19">
        <v>76886.45</v>
      </c>
      <c r="AI5" s="20">
        <v>71332.97</v>
      </c>
      <c r="AJ5" s="20">
        <v>126101.67</v>
      </c>
      <c r="AK5" s="20">
        <v>186068.58</v>
      </c>
      <c r="AL5" s="20">
        <v>192119.79</v>
      </c>
      <c r="AM5" s="210">
        <v>192337.37</v>
      </c>
      <c r="AN5" s="21">
        <v>177297.42</v>
      </c>
      <c r="AO5" s="19">
        <v>15102.59</v>
      </c>
      <c r="AP5" s="20">
        <v>13310.17</v>
      </c>
      <c r="AQ5" s="20">
        <v>22922.06</v>
      </c>
      <c r="AR5" s="20">
        <v>34553.019999999997</v>
      </c>
      <c r="AS5" s="20">
        <v>44862.21</v>
      </c>
      <c r="AT5" s="210">
        <v>54890.18</v>
      </c>
      <c r="AU5" s="21">
        <v>14442.6</v>
      </c>
      <c r="AV5" s="50">
        <f>AO5/AH5</f>
        <v>0.19642719881071374</v>
      </c>
      <c r="AW5" s="51">
        <f>AP5/AI5</f>
        <v>0.18659211862340794</v>
      </c>
      <c r="AX5" s="51">
        <f t="shared" ref="AX5:AZ6" si="3">AQ5/AJ5</f>
        <v>0.18177443645274485</v>
      </c>
      <c r="AY5" s="51">
        <f>AR5/AK5</f>
        <v>0.18570045517625813</v>
      </c>
      <c r="AZ5" s="51">
        <f>AS5/AL5</f>
        <v>0.23351165436939109</v>
      </c>
      <c r="BA5" s="211">
        <f t="shared" ref="BA5:BA6" si="4">AT5/AM5</f>
        <v>0.28538489426157798</v>
      </c>
      <c r="BB5" s="52">
        <f t="shared" ref="BB5:BB54" si="5">AU5/AN5</f>
        <v>8.145973020927208E-2</v>
      </c>
      <c r="BC5" s="50" t="s">
        <v>226</v>
      </c>
      <c r="BD5" s="53">
        <f t="shared" ref="BD5:BF6" si="6">(AW5-$AV5)*100</f>
        <v>-0.98350801873058058</v>
      </c>
      <c r="BE5" s="53">
        <f t="shared" si="6"/>
        <v>-1.4652762357968889</v>
      </c>
      <c r="BF5" s="53">
        <f t="shared" si="6"/>
        <v>-1.0726743634455609</v>
      </c>
      <c r="BG5" s="53">
        <f>(AZ5-$AV5)*100</f>
        <v>3.7084455558677343</v>
      </c>
      <c r="BH5" s="212">
        <f t="shared" ref="BH5:BH6" si="7">(BA5-$AV5)*100</f>
        <v>8.8957695450864236</v>
      </c>
      <c r="BI5" s="54">
        <f t="shared" ref="BI5:BI20" si="8">(BB5-$AV5)*100</f>
        <v>-11.496746860144166</v>
      </c>
      <c r="BJ5" s="2" t="s">
        <v>226</v>
      </c>
      <c r="BK5" s="55">
        <f t="shared" ref="BK5:BM6" si="9">(AW5-AV5)*100</f>
        <v>-0.98350801873058058</v>
      </c>
      <c r="BL5" s="55">
        <f t="shared" si="9"/>
        <v>-0.48176821706630846</v>
      </c>
      <c r="BM5" s="55">
        <f t="shared" si="9"/>
        <v>0.39260187235132804</v>
      </c>
      <c r="BN5" s="55">
        <f>(AZ5-AY5)*100</f>
        <v>4.7811199193132952</v>
      </c>
      <c r="BO5" s="213">
        <f t="shared" ref="BO5:BO6" si="10">(BA5-AZ5)*100</f>
        <v>5.1873239892186893</v>
      </c>
      <c r="BP5" s="56">
        <f t="shared" ref="BP5:BP9" si="11">(BB5-BA5)*100</f>
        <v>-20.392516405230591</v>
      </c>
      <c r="BQ5" s="50">
        <f t="shared" ref="BQ5:BR6" si="12">T5/M5</f>
        <v>0.3669724770642202</v>
      </c>
      <c r="BR5" s="51">
        <f t="shared" si="12"/>
        <v>0.189873417721519</v>
      </c>
      <c r="BS5" s="51">
        <f>V5/O5</f>
        <v>0.1388888888888889</v>
      </c>
      <c r="BT5" s="211">
        <f t="shared" ref="BT5:BT6" si="13">W5/P5</f>
        <v>3.4482758620689655E-2</v>
      </c>
      <c r="BU5" s="52">
        <f t="shared" ref="BU5:BU6" si="14">X5/Q5</f>
        <v>7.5630252100840331E-2</v>
      </c>
      <c r="BV5" s="410">
        <f t="shared" ref="BV5:BV9" si="15">(AG5-AF5)/AF5</f>
        <v>0</v>
      </c>
      <c r="BW5" s="57">
        <f t="shared" ref="BW5:BW50" si="16">(Q5-P5)/P5</f>
        <v>2.5862068965517241E-2</v>
      </c>
    </row>
    <row r="6" spans="1:75" x14ac:dyDescent="0.25">
      <c r="A6" s="12">
        <v>8</v>
      </c>
      <c r="B6" s="17" t="s">
        <v>234</v>
      </c>
      <c r="C6" s="2">
        <v>43</v>
      </c>
      <c r="D6" s="3">
        <v>42</v>
      </c>
      <c r="E6" s="3">
        <v>42</v>
      </c>
      <c r="F6" s="144">
        <v>86</v>
      </c>
      <c r="G6" s="4">
        <v>46</v>
      </c>
      <c r="H6" s="2">
        <v>329</v>
      </c>
      <c r="I6" s="3">
        <v>347</v>
      </c>
      <c r="J6" s="3">
        <v>347</v>
      </c>
      <c r="K6" s="144">
        <v>329</v>
      </c>
      <c r="L6" s="4">
        <v>291</v>
      </c>
      <c r="M6" s="2">
        <v>280</v>
      </c>
      <c r="N6" s="3">
        <v>292</v>
      </c>
      <c r="O6" s="3">
        <v>248</v>
      </c>
      <c r="P6" s="144">
        <v>494</v>
      </c>
      <c r="Q6" s="4">
        <v>68</v>
      </c>
      <c r="R6" s="2">
        <v>0</v>
      </c>
      <c r="S6" s="3">
        <v>0</v>
      </c>
      <c r="T6" s="3">
        <v>0</v>
      </c>
      <c r="U6" s="3">
        <v>2</v>
      </c>
      <c r="V6" s="3">
        <v>16</v>
      </c>
      <c r="W6" s="144">
        <v>98</v>
      </c>
      <c r="X6" s="4">
        <v>0</v>
      </c>
      <c r="Y6" s="2">
        <v>22.76</v>
      </c>
      <c r="Z6" s="3">
        <v>27.26</v>
      </c>
      <c r="AA6" s="3">
        <v>38.74</v>
      </c>
      <c r="AB6" s="144">
        <v>38.74</v>
      </c>
      <c r="AC6" s="3">
        <v>38.74</v>
      </c>
      <c r="AD6" s="148"/>
      <c r="AE6" s="3"/>
      <c r="AF6" s="153">
        <v>38.74</v>
      </c>
      <c r="AG6" s="86">
        <v>40.590000000000003</v>
      </c>
      <c r="AH6" s="19">
        <v>368822</v>
      </c>
      <c r="AI6" s="20">
        <v>412599</v>
      </c>
      <c r="AJ6" s="20">
        <v>428855</v>
      </c>
      <c r="AK6" s="20">
        <v>597660</v>
      </c>
      <c r="AL6" s="20">
        <v>618618</v>
      </c>
      <c r="AM6" s="210">
        <v>636016.78399999999</v>
      </c>
      <c r="AN6" s="21">
        <v>89379</v>
      </c>
      <c r="AO6" s="19">
        <v>41621</v>
      </c>
      <c r="AP6" s="20">
        <v>46520</v>
      </c>
      <c r="AQ6" s="20">
        <v>46409</v>
      </c>
      <c r="AR6" s="20">
        <v>56115</v>
      </c>
      <c r="AS6" s="20">
        <v>58299</v>
      </c>
      <c r="AT6" s="210">
        <v>41710.436999999998</v>
      </c>
      <c r="AU6" s="21">
        <v>1460</v>
      </c>
      <c r="AV6" s="50">
        <f t="shared" ref="AV6:AW6" si="17">AO6/AH6</f>
        <v>0.11284847433179149</v>
      </c>
      <c r="AW6" s="51">
        <f t="shared" si="17"/>
        <v>0.11274869788826439</v>
      </c>
      <c r="AX6" s="51">
        <f t="shared" si="3"/>
        <v>0.10821606370451552</v>
      </c>
      <c r="AY6" s="51">
        <f t="shared" si="3"/>
        <v>9.3891175584780648E-2</v>
      </c>
      <c r="AZ6" s="51">
        <f t="shared" si="3"/>
        <v>9.4240710745565115E-2</v>
      </c>
      <c r="BA6" s="211">
        <f t="shared" si="4"/>
        <v>6.5580717442198816E-2</v>
      </c>
      <c r="BB6" s="52">
        <f t="shared" si="5"/>
        <v>1.6334933261728145E-2</v>
      </c>
      <c r="BC6" s="50" t="s">
        <v>226</v>
      </c>
      <c r="BD6" s="53">
        <f t="shared" si="6"/>
        <v>-9.9776443527099801E-3</v>
      </c>
      <c r="BE6" s="53">
        <f t="shared" si="6"/>
        <v>-0.46324106272759707</v>
      </c>
      <c r="BF6" s="53">
        <f t="shared" si="6"/>
        <v>-1.895729874701084</v>
      </c>
      <c r="BG6" s="53">
        <f>(AZ6-$AV6)*100</f>
        <v>-1.8607763586226373</v>
      </c>
      <c r="BH6" s="212">
        <f t="shared" si="7"/>
        <v>-4.7267756889592674</v>
      </c>
      <c r="BI6" s="54">
        <f t="shared" si="8"/>
        <v>-9.651354107006334</v>
      </c>
      <c r="BJ6" s="2" t="s">
        <v>226</v>
      </c>
      <c r="BK6" s="55">
        <f t="shared" si="9"/>
        <v>-9.9776443527099801E-3</v>
      </c>
      <c r="BL6" s="55">
        <f t="shared" si="9"/>
        <v>-0.45326341837488709</v>
      </c>
      <c r="BM6" s="55">
        <f t="shared" si="9"/>
        <v>-1.4324888119734869</v>
      </c>
      <c r="BN6" s="55">
        <f>(AZ6-AY6)*100</f>
        <v>3.4953516078446711E-2</v>
      </c>
      <c r="BO6" s="213">
        <f t="shared" si="10"/>
        <v>-2.86599933033663</v>
      </c>
      <c r="BP6" s="56">
        <f>(BB6-BA6)*100</f>
        <v>-4.9245784180470666</v>
      </c>
      <c r="BQ6" s="50">
        <f t="shared" si="12"/>
        <v>0</v>
      </c>
      <c r="BR6" s="51">
        <f t="shared" si="12"/>
        <v>6.8493150684931503E-3</v>
      </c>
      <c r="BS6" s="51">
        <f>V6/O6</f>
        <v>6.4516129032258063E-2</v>
      </c>
      <c r="BT6" s="211">
        <f t="shared" si="13"/>
        <v>0.19838056680161945</v>
      </c>
      <c r="BU6" s="52">
        <f t="shared" si="14"/>
        <v>0</v>
      </c>
      <c r="BV6" s="410">
        <f t="shared" si="15"/>
        <v>4.7754259163655173E-2</v>
      </c>
      <c r="BW6" s="57">
        <f t="shared" si="16"/>
        <v>-0.86234817813765186</v>
      </c>
    </row>
    <row r="7" spans="1:75" x14ac:dyDescent="0.25">
      <c r="A7" s="12">
        <v>8</v>
      </c>
      <c r="B7" s="17" t="s">
        <v>6</v>
      </c>
      <c r="C7" s="2">
        <v>42</v>
      </c>
      <c r="D7" s="3">
        <v>43</v>
      </c>
      <c r="E7" s="3">
        <v>42</v>
      </c>
      <c r="F7" s="3"/>
      <c r="G7" s="144"/>
      <c r="H7" s="2">
        <v>1647</v>
      </c>
      <c r="I7" s="3">
        <v>1665</v>
      </c>
      <c r="J7" s="3">
        <v>1647</v>
      </c>
      <c r="K7" s="3"/>
      <c r="L7" s="4"/>
      <c r="M7" s="2">
        <v>75</v>
      </c>
      <c r="N7" s="3">
        <v>126</v>
      </c>
      <c r="O7" s="144">
        <v>208</v>
      </c>
      <c r="P7" s="144"/>
      <c r="Q7" s="4"/>
      <c r="R7" s="2">
        <v>33</v>
      </c>
      <c r="S7" s="3">
        <v>37</v>
      </c>
      <c r="T7" s="3">
        <v>48</v>
      </c>
      <c r="U7" s="3">
        <v>77</v>
      </c>
      <c r="V7" s="144">
        <v>93</v>
      </c>
      <c r="W7" s="144"/>
      <c r="X7" s="4"/>
      <c r="Y7" s="2">
        <v>22.67</v>
      </c>
      <c r="Z7" s="3">
        <v>27.26</v>
      </c>
      <c r="AA7" s="3">
        <v>27.26</v>
      </c>
      <c r="AB7" s="3">
        <v>37.74</v>
      </c>
      <c r="AC7" s="3">
        <v>38.74</v>
      </c>
      <c r="AD7" s="3"/>
      <c r="AE7" s="3"/>
      <c r="AF7" s="3"/>
      <c r="AG7" s="4"/>
      <c r="AH7" s="19">
        <v>308200.84000000003</v>
      </c>
      <c r="AI7" s="20">
        <v>330539.42</v>
      </c>
      <c r="AJ7" s="20">
        <v>35549.06</v>
      </c>
      <c r="AK7" s="20">
        <v>493473.52</v>
      </c>
      <c r="AL7" s="210">
        <v>511041.2</v>
      </c>
      <c r="AM7" s="210"/>
      <c r="AN7" s="21"/>
      <c r="AO7" s="19">
        <v>6955.25</v>
      </c>
      <c r="AP7" s="20">
        <v>6377.79</v>
      </c>
      <c r="AQ7" s="20">
        <v>6384.07</v>
      </c>
      <c r="AR7" s="20">
        <v>26777.32</v>
      </c>
      <c r="AS7" s="210">
        <v>48268.5</v>
      </c>
      <c r="AT7" s="210"/>
      <c r="AU7" s="210"/>
      <c r="AV7" s="50">
        <f t="shared" ref="AV7:BA12" si="18">AO7/AH7</f>
        <v>2.2567264904274756E-2</v>
      </c>
      <c r="AW7" s="51">
        <f t="shared" si="18"/>
        <v>1.9295096481986931E-2</v>
      </c>
      <c r="AX7" s="51">
        <f t="shared" si="18"/>
        <v>0.17958477664388314</v>
      </c>
      <c r="AY7" s="51">
        <f t="shared" si="18"/>
        <v>5.4262931879303269E-2</v>
      </c>
      <c r="AZ7" s="51">
        <f t="shared" si="18"/>
        <v>9.445128885890218E-2</v>
      </c>
      <c r="BA7" s="51"/>
      <c r="BB7" s="211"/>
      <c r="BC7" s="50" t="s">
        <v>226</v>
      </c>
      <c r="BD7" s="53">
        <f t="shared" ref="BD7:BH12" si="19">(AW7-$AV7)*100</f>
        <v>-0.3272168422287825</v>
      </c>
      <c r="BE7" s="53">
        <f t="shared" si="19"/>
        <v>15.701751173960837</v>
      </c>
      <c r="BF7" s="53">
        <f t="shared" si="19"/>
        <v>3.1695666975028516</v>
      </c>
      <c r="BG7" s="53">
        <f t="shared" si="19"/>
        <v>7.1884023954627425</v>
      </c>
      <c r="BH7" s="53"/>
      <c r="BI7" s="212"/>
      <c r="BJ7" s="2" t="s">
        <v>226</v>
      </c>
      <c r="BK7" s="55">
        <f t="shared" ref="BK7:BO12" si="20">(AW7-AV7)*100</f>
        <v>-0.3272168422287825</v>
      </c>
      <c r="BL7" s="55">
        <f t="shared" si="20"/>
        <v>16.028968016189619</v>
      </c>
      <c r="BM7" s="55">
        <f t="shared" si="20"/>
        <v>-12.532184476457985</v>
      </c>
      <c r="BN7" s="55">
        <f t="shared" si="20"/>
        <v>4.0188356979598909</v>
      </c>
      <c r="BO7" s="55"/>
      <c r="BP7" s="213"/>
      <c r="BQ7" s="50">
        <f t="shared" ref="BQ7:BS10" si="21">T7/M7</f>
        <v>0.64</v>
      </c>
      <c r="BR7" s="51">
        <f t="shared" si="21"/>
        <v>0.61111111111111116</v>
      </c>
      <c r="BS7" s="51">
        <f t="shared" si="21"/>
        <v>0.44711538461538464</v>
      </c>
      <c r="BT7" s="51"/>
      <c r="BU7" s="211"/>
      <c r="BV7" s="409"/>
      <c r="BW7" s="57"/>
    </row>
    <row r="8" spans="1:75" x14ac:dyDescent="0.25">
      <c r="A8" s="12">
        <v>12</v>
      </c>
      <c r="B8" s="17" t="s">
        <v>8</v>
      </c>
      <c r="C8" s="2">
        <v>1</v>
      </c>
      <c r="D8" s="3">
        <v>1</v>
      </c>
      <c r="E8" s="3">
        <v>1</v>
      </c>
      <c r="F8" s="144">
        <v>1</v>
      </c>
      <c r="G8" s="4">
        <v>1</v>
      </c>
      <c r="H8" s="2">
        <v>654</v>
      </c>
      <c r="I8" s="3">
        <v>654</v>
      </c>
      <c r="J8" s="3">
        <v>654</v>
      </c>
      <c r="K8" s="144">
        <v>654</v>
      </c>
      <c r="L8" s="4">
        <v>654</v>
      </c>
      <c r="M8" s="2">
        <v>47</v>
      </c>
      <c r="N8" s="3">
        <v>82</v>
      </c>
      <c r="O8" s="3">
        <v>78</v>
      </c>
      <c r="P8" s="144">
        <v>76</v>
      </c>
      <c r="Q8" s="4">
        <v>106</v>
      </c>
      <c r="R8" s="2">
        <v>2</v>
      </c>
      <c r="S8" s="3">
        <v>2</v>
      </c>
      <c r="T8" s="3">
        <v>3</v>
      </c>
      <c r="U8" s="3">
        <v>4</v>
      </c>
      <c r="V8" s="3">
        <v>11</v>
      </c>
      <c r="W8" s="144">
        <v>15</v>
      </c>
      <c r="X8" s="4">
        <v>22</v>
      </c>
      <c r="Y8" s="2">
        <v>22.97</v>
      </c>
      <c r="Z8" s="3">
        <v>26.34</v>
      </c>
      <c r="AA8" s="3">
        <v>35.78</v>
      </c>
      <c r="AB8" s="153">
        <v>46</v>
      </c>
      <c r="AC8" s="3">
        <v>33.75</v>
      </c>
      <c r="AD8" s="148"/>
      <c r="AE8" s="3"/>
      <c r="AF8" s="153">
        <v>37.74</v>
      </c>
      <c r="AG8" s="153">
        <v>37.74</v>
      </c>
      <c r="AH8" s="19">
        <v>112321</v>
      </c>
      <c r="AI8" s="20">
        <v>106994</v>
      </c>
      <c r="AJ8" s="20">
        <v>157486</v>
      </c>
      <c r="AK8" s="20">
        <v>206790</v>
      </c>
      <c r="AL8" s="20">
        <v>163730</v>
      </c>
      <c r="AM8" s="210">
        <v>169972</v>
      </c>
      <c r="AN8" s="21">
        <v>164374</v>
      </c>
      <c r="AO8" s="19">
        <v>1175</v>
      </c>
      <c r="AP8" s="20">
        <v>2056</v>
      </c>
      <c r="AQ8" s="20">
        <v>2483</v>
      </c>
      <c r="AR8" s="20">
        <v>14484</v>
      </c>
      <c r="AS8" s="20">
        <v>13719</v>
      </c>
      <c r="AT8" s="210">
        <v>14115</v>
      </c>
      <c r="AU8" s="21">
        <v>13416</v>
      </c>
      <c r="AV8" s="50">
        <f>AO8/AH8</f>
        <v>1.0461089199704418E-2</v>
      </c>
      <c r="AW8" s="51">
        <f>AP8/AI8</f>
        <v>1.9216030805465727E-2</v>
      </c>
      <c r="AX8" s="51">
        <f>AQ8/AJ8</f>
        <v>1.5766480830042034E-2</v>
      </c>
      <c r="AY8" s="51">
        <f>AR8/AK8</f>
        <v>7.0042071666908456E-2</v>
      </c>
      <c r="AZ8" s="51">
        <f>AS8/AL8</f>
        <v>8.3790386612105291E-2</v>
      </c>
      <c r="BA8" s="211">
        <f t="shared" ref="BA8:BB8" si="22">AT8/AM8</f>
        <v>8.3043089450027058E-2</v>
      </c>
      <c r="BB8" s="52">
        <f t="shared" si="22"/>
        <v>8.1618747490479024E-2</v>
      </c>
      <c r="BC8" s="50" t="s">
        <v>226</v>
      </c>
      <c r="BD8" s="53">
        <f t="shared" si="19"/>
        <v>0.87549416057613094</v>
      </c>
      <c r="BE8" s="53">
        <f t="shared" si="19"/>
        <v>0.5305391630337617</v>
      </c>
      <c r="BF8" s="53">
        <f t="shared" si="19"/>
        <v>5.9580982467204038</v>
      </c>
      <c r="BG8" s="53">
        <f>(AZ8-$AV8)*100</f>
        <v>7.332929741240088</v>
      </c>
      <c r="BH8" s="212">
        <f t="shared" ref="BH8:BI8" si="23">(BA8-$AV8)*100</f>
        <v>7.2582000250322647</v>
      </c>
      <c r="BI8" s="212">
        <f t="shared" si="23"/>
        <v>7.1157658290774615</v>
      </c>
      <c r="BJ8" s="2" t="s">
        <v>226</v>
      </c>
      <c r="BK8" s="55">
        <f t="shared" si="20"/>
        <v>0.87549416057613094</v>
      </c>
      <c r="BL8" s="55">
        <f t="shared" si="20"/>
        <v>-0.3449549975423693</v>
      </c>
      <c r="BM8" s="55">
        <f t="shared" si="20"/>
        <v>5.4275590836866421</v>
      </c>
      <c r="BN8" s="55">
        <f>(AZ8-AY8)*100</f>
        <v>1.3748314945196836</v>
      </c>
      <c r="BO8" s="213">
        <f t="shared" ref="BO8:BP8" si="24">(BA8-AZ8)*100</f>
        <v>-7.4729716207823371E-2</v>
      </c>
      <c r="BP8" s="213">
        <f t="shared" si="24"/>
        <v>-0.14243419595480339</v>
      </c>
      <c r="BQ8" s="50">
        <f t="shared" si="21"/>
        <v>6.3829787234042548E-2</v>
      </c>
      <c r="BR8" s="51">
        <f t="shared" si="21"/>
        <v>4.878048780487805E-2</v>
      </c>
      <c r="BS8" s="51">
        <f>V8/O8</f>
        <v>0.14102564102564102</v>
      </c>
      <c r="BT8" s="211">
        <f t="shared" ref="BT8:BU8" si="25">W8/P8</f>
        <v>0.19736842105263158</v>
      </c>
      <c r="BU8" s="52">
        <f t="shared" si="25"/>
        <v>0.20754716981132076</v>
      </c>
      <c r="BV8" s="410">
        <f t="shared" ref="BV8" si="26">(AG8-AF8)/AF8</f>
        <v>0</v>
      </c>
      <c r="BW8" s="57">
        <f t="shared" ref="BW8" si="27">(Q8-P8)/P8</f>
        <v>0.39473684210526316</v>
      </c>
    </row>
    <row r="9" spans="1:75" x14ac:dyDescent="0.25">
      <c r="A9" s="12">
        <v>15</v>
      </c>
      <c r="B9" s="17" t="s">
        <v>287</v>
      </c>
      <c r="C9" s="2">
        <v>0</v>
      </c>
      <c r="D9" s="3">
        <v>0</v>
      </c>
      <c r="E9" s="3">
        <v>0</v>
      </c>
      <c r="F9" s="144">
        <v>0</v>
      </c>
      <c r="G9" s="4">
        <v>0</v>
      </c>
      <c r="H9" s="2">
        <v>2800</v>
      </c>
      <c r="I9" s="3">
        <v>2800</v>
      </c>
      <c r="J9" s="3">
        <v>2800</v>
      </c>
      <c r="K9" s="144">
        <v>2300</v>
      </c>
      <c r="L9" s="4">
        <v>2300</v>
      </c>
      <c r="M9" s="2">
        <v>355</v>
      </c>
      <c r="N9" s="3">
        <v>736</v>
      </c>
      <c r="O9" s="3">
        <v>902</v>
      </c>
      <c r="P9" s="144">
        <v>476</v>
      </c>
      <c r="Q9" s="4">
        <v>800</v>
      </c>
      <c r="R9" s="2">
        <v>44</v>
      </c>
      <c r="S9" s="3">
        <v>21</v>
      </c>
      <c r="T9" s="3">
        <v>29</v>
      </c>
      <c r="U9" s="3">
        <v>77</v>
      </c>
      <c r="V9" s="3">
        <v>83</v>
      </c>
      <c r="W9" s="144">
        <v>82</v>
      </c>
      <c r="X9" s="4">
        <v>425</v>
      </c>
      <c r="Y9" s="5">
        <f>(20.28+18.27)/2</f>
        <v>19.274999999999999</v>
      </c>
      <c r="Z9" s="49">
        <f>(18.27+24.24)/2</f>
        <v>21.254999999999999</v>
      </c>
      <c r="AA9" s="3">
        <v>24.24</v>
      </c>
      <c r="AB9" s="144">
        <f>(24.24+29.78)/2</f>
        <v>27.009999999999998</v>
      </c>
      <c r="AC9" s="3">
        <v>29.78</v>
      </c>
      <c r="AD9" s="148"/>
      <c r="AE9" s="3"/>
      <c r="AF9" s="144">
        <v>29.78</v>
      </c>
      <c r="AG9" s="4">
        <v>34</v>
      </c>
      <c r="AH9" s="19">
        <v>394091</v>
      </c>
      <c r="AI9" s="20">
        <v>386750</v>
      </c>
      <c r="AJ9" s="20">
        <v>530846</v>
      </c>
      <c r="AK9" s="20">
        <v>646958</v>
      </c>
      <c r="AL9" s="20">
        <v>686842</v>
      </c>
      <c r="AM9" s="210">
        <v>694187.72</v>
      </c>
      <c r="AN9" s="21">
        <v>635660</v>
      </c>
      <c r="AO9" s="19">
        <v>18822</v>
      </c>
      <c r="AP9" s="20">
        <v>27733</v>
      </c>
      <c r="AQ9" s="20">
        <v>40640</v>
      </c>
      <c r="AR9" s="20">
        <v>151617</v>
      </c>
      <c r="AS9" s="20">
        <v>99639</v>
      </c>
      <c r="AT9" s="210">
        <v>71511.11</v>
      </c>
      <c r="AU9" s="21">
        <v>1361.44</v>
      </c>
      <c r="AV9" s="50">
        <f t="shared" si="18"/>
        <v>4.7760542615791782E-2</v>
      </c>
      <c r="AW9" s="51">
        <f t="shared" si="18"/>
        <v>7.1707821590174525E-2</v>
      </c>
      <c r="AX9" s="51">
        <f t="shared" si="18"/>
        <v>7.6557042908866224E-2</v>
      </c>
      <c r="AY9" s="51">
        <f t="shared" si="18"/>
        <v>0.2343536983853666</v>
      </c>
      <c r="AZ9" s="51">
        <f t="shared" si="18"/>
        <v>0.14506829809475832</v>
      </c>
      <c r="BA9" s="211">
        <f t="shared" si="18"/>
        <v>0.10301408097509994</v>
      </c>
      <c r="BB9" s="52">
        <f t="shared" si="5"/>
        <v>2.1417739042884562E-3</v>
      </c>
      <c r="BC9" s="50" t="s">
        <v>226</v>
      </c>
      <c r="BD9" s="53">
        <f t="shared" si="19"/>
        <v>2.3947278974382744</v>
      </c>
      <c r="BE9" s="53">
        <f t="shared" si="19"/>
        <v>2.8796500293074443</v>
      </c>
      <c r="BF9" s="53">
        <f t="shared" si="19"/>
        <v>18.659315576957482</v>
      </c>
      <c r="BG9" s="53">
        <f t="shared" si="19"/>
        <v>9.7307755478966538</v>
      </c>
      <c r="BH9" s="212">
        <f t="shared" si="19"/>
        <v>5.5253538359308161</v>
      </c>
      <c r="BI9" s="54">
        <f t="shared" si="8"/>
        <v>-4.5618768711503321</v>
      </c>
      <c r="BJ9" s="2" t="s">
        <v>226</v>
      </c>
      <c r="BK9" s="55">
        <f t="shared" si="20"/>
        <v>2.3947278974382744</v>
      </c>
      <c r="BL9" s="55">
        <f t="shared" si="20"/>
        <v>0.48492213186916988</v>
      </c>
      <c r="BM9" s="55">
        <f t="shared" si="20"/>
        <v>15.779665547650037</v>
      </c>
      <c r="BN9" s="55">
        <f t="shared" si="20"/>
        <v>-8.9285400290608266</v>
      </c>
      <c r="BO9" s="213">
        <f t="shared" si="20"/>
        <v>-4.2054217119658386</v>
      </c>
      <c r="BP9" s="56">
        <f t="shared" si="11"/>
        <v>-10.087230707081149</v>
      </c>
      <c r="BQ9" s="50">
        <f t="shared" si="21"/>
        <v>8.1690140845070425E-2</v>
      </c>
      <c r="BR9" s="51">
        <f t="shared" si="21"/>
        <v>0.10461956521739131</v>
      </c>
      <c r="BS9" s="51">
        <f>V9/O9</f>
        <v>9.2017738359201767E-2</v>
      </c>
      <c r="BT9" s="211">
        <f t="shared" ref="BT9:BU10" si="28">W9/P9</f>
        <v>0.17226890756302521</v>
      </c>
      <c r="BU9" s="52">
        <f t="shared" si="28"/>
        <v>0.53125</v>
      </c>
      <c r="BV9" s="410">
        <f t="shared" si="15"/>
        <v>0.14170584284754864</v>
      </c>
      <c r="BW9" s="57">
        <f t="shared" si="16"/>
        <v>0.68067226890756305</v>
      </c>
    </row>
    <row r="10" spans="1:75" x14ac:dyDescent="0.25">
      <c r="A10" s="12">
        <v>16</v>
      </c>
      <c r="B10" s="17" t="s">
        <v>218</v>
      </c>
      <c r="C10" s="2">
        <v>15</v>
      </c>
      <c r="D10" s="3">
        <v>15</v>
      </c>
      <c r="E10" s="3">
        <v>15</v>
      </c>
      <c r="F10" s="144"/>
      <c r="G10" s="4">
        <v>15</v>
      </c>
      <c r="H10" s="2">
        <v>2090</v>
      </c>
      <c r="I10" s="3">
        <v>2090</v>
      </c>
      <c r="J10" s="3">
        <v>2090</v>
      </c>
      <c r="K10" s="144"/>
      <c r="L10" s="4">
        <v>2210</v>
      </c>
      <c r="M10" s="2">
        <v>96</v>
      </c>
      <c r="N10" s="3">
        <v>210</v>
      </c>
      <c r="O10" s="3">
        <v>1</v>
      </c>
      <c r="P10" s="144"/>
      <c r="Q10" s="4">
        <v>80</v>
      </c>
      <c r="R10" s="2">
        <v>0</v>
      </c>
      <c r="S10" s="3">
        <v>0</v>
      </c>
      <c r="T10" s="3">
        <v>39</v>
      </c>
      <c r="U10" s="3">
        <v>91</v>
      </c>
      <c r="V10" s="3"/>
      <c r="W10" s="144"/>
      <c r="X10" s="4">
        <v>16</v>
      </c>
      <c r="Y10" s="2">
        <v>21.19</v>
      </c>
      <c r="Z10" s="3">
        <v>26.45</v>
      </c>
      <c r="AA10" s="3">
        <v>39.06</v>
      </c>
      <c r="AB10" s="144">
        <v>43.34</v>
      </c>
      <c r="AC10" s="3">
        <v>42.83</v>
      </c>
      <c r="AD10" s="148"/>
      <c r="AE10" s="3"/>
      <c r="AF10" s="153"/>
      <c r="AG10" s="86">
        <v>41.63</v>
      </c>
      <c r="AH10" s="19">
        <v>55635</v>
      </c>
      <c r="AI10" s="20">
        <v>507084</v>
      </c>
      <c r="AJ10" s="20">
        <v>790532</v>
      </c>
      <c r="AK10" s="20">
        <v>995776</v>
      </c>
      <c r="AL10" s="20">
        <v>791699</v>
      </c>
      <c r="AM10" s="210"/>
      <c r="AN10" s="21">
        <v>755865</v>
      </c>
      <c r="AO10" s="19">
        <v>5497</v>
      </c>
      <c r="AP10" s="20">
        <v>3750</v>
      </c>
      <c r="AQ10" s="20">
        <v>34700</v>
      </c>
      <c r="AR10" s="20">
        <v>66499</v>
      </c>
      <c r="AS10" s="20">
        <v>68111</v>
      </c>
      <c r="AT10" s="210"/>
      <c r="AU10" s="21">
        <v>65241</v>
      </c>
      <c r="AV10" s="50">
        <f t="shared" si="18"/>
        <v>9.8804709265749982E-2</v>
      </c>
      <c r="AW10" s="51">
        <f t="shared" si="18"/>
        <v>7.3952244598528057E-3</v>
      </c>
      <c r="AX10" s="51">
        <f t="shared" si="18"/>
        <v>4.3894491304589819E-2</v>
      </c>
      <c r="AY10" s="51">
        <f t="shared" si="18"/>
        <v>6.6781083295841634E-2</v>
      </c>
      <c r="AZ10" s="51">
        <f t="shared" si="18"/>
        <v>8.6031433663551427E-2</v>
      </c>
      <c r="BA10" s="211"/>
      <c r="BB10" s="52">
        <f t="shared" si="5"/>
        <v>8.6313032089063518E-2</v>
      </c>
      <c r="BC10" s="50" t="s">
        <v>226</v>
      </c>
      <c r="BD10" s="53">
        <f t="shared" si="19"/>
        <v>-9.140948480589719</v>
      </c>
      <c r="BE10" s="53">
        <f t="shared" si="19"/>
        <v>-5.4910217961160166</v>
      </c>
      <c r="BF10" s="53">
        <f t="shared" si="19"/>
        <v>-3.2023625969908349</v>
      </c>
      <c r="BG10" s="53">
        <f t="shared" si="19"/>
        <v>-1.2773275602198555</v>
      </c>
      <c r="BH10" s="212"/>
      <c r="BI10" s="54">
        <f t="shared" si="8"/>
        <v>-1.2491677176686464</v>
      </c>
      <c r="BJ10" s="2" t="s">
        <v>226</v>
      </c>
      <c r="BK10" s="55">
        <f t="shared" si="20"/>
        <v>-9.140948480589719</v>
      </c>
      <c r="BL10" s="55">
        <f t="shared" si="20"/>
        <v>3.6499266844737011</v>
      </c>
      <c r="BM10" s="55">
        <f t="shared" si="20"/>
        <v>2.2886591991251812</v>
      </c>
      <c r="BN10" s="55">
        <f t="shared" si="20"/>
        <v>1.9250350367709792</v>
      </c>
      <c r="BO10" s="213"/>
      <c r="BP10" s="56"/>
      <c r="BQ10" s="50">
        <f t="shared" si="21"/>
        <v>0.40625</v>
      </c>
      <c r="BR10" s="51">
        <f t="shared" si="21"/>
        <v>0.43333333333333335</v>
      </c>
      <c r="BS10" s="51"/>
      <c r="BT10" s="211"/>
      <c r="BU10" s="52">
        <f t="shared" si="28"/>
        <v>0.2</v>
      </c>
      <c r="BV10" s="410"/>
      <c r="BW10" s="57"/>
    </row>
    <row r="11" spans="1:75" x14ac:dyDescent="0.25">
      <c r="A11" s="12">
        <v>18</v>
      </c>
      <c r="B11" s="17" t="s">
        <v>288</v>
      </c>
      <c r="C11" s="2">
        <v>46</v>
      </c>
      <c r="D11" s="3">
        <v>46</v>
      </c>
      <c r="E11" s="3">
        <v>46</v>
      </c>
      <c r="F11" s="144"/>
      <c r="G11" s="4">
        <v>41</v>
      </c>
      <c r="H11" s="2">
        <v>8</v>
      </c>
      <c r="I11" s="3">
        <v>8</v>
      </c>
      <c r="J11" s="3">
        <v>8</v>
      </c>
      <c r="K11" s="144"/>
      <c r="L11" s="4">
        <v>21</v>
      </c>
      <c r="M11" s="2">
        <v>1504</v>
      </c>
      <c r="N11" s="3">
        <v>662</v>
      </c>
      <c r="O11" s="3">
        <v>662</v>
      </c>
      <c r="P11" s="144"/>
      <c r="Q11" s="4">
        <v>9</v>
      </c>
      <c r="R11" s="2">
        <v>0</v>
      </c>
      <c r="S11" s="3">
        <v>0</v>
      </c>
      <c r="T11" s="3">
        <v>0</v>
      </c>
      <c r="U11" s="3">
        <v>1</v>
      </c>
      <c r="V11" s="3">
        <v>1</v>
      </c>
      <c r="W11" s="144"/>
      <c r="X11" s="4">
        <v>0</v>
      </c>
      <c r="Y11" s="2">
        <v>21.45</v>
      </c>
      <c r="Z11" s="49">
        <v>29.8</v>
      </c>
      <c r="AA11" s="49">
        <f>(29.8+33.55+39.48)/3</f>
        <v>34.276666666666664</v>
      </c>
      <c r="AB11" s="144">
        <f>(39.48+34.27)/2</f>
        <v>36.875</v>
      </c>
      <c r="AC11" s="3">
        <v>34.270000000000003</v>
      </c>
      <c r="AD11" s="148"/>
      <c r="AE11" s="3"/>
      <c r="AF11" s="153"/>
      <c r="AG11" s="86">
        <v>28.64</v>
      </c>
      <c r="AH11" s="19">
        <v>269522</v>
      </c>
      <c r="AI11" s="20">
        <v>263797</v>
      </c>
      <c r="AJ11" s="20">
        <v>315646</v>
      </c>
      <c r="AK11" s="20">
        <v>414764</v>
      </c>
      <c r="AL11" s="20">
        <v>377433</v>
      </c>
      <c r="AM11" s="210"/>
      <c r="AN11" s="21">
        <v>231380.59</v>
      </c>
      <c r="AO11" s="19">
        <v>40428</v>
      </c>
      <c r="AP11" s="20">
        <v>55871</v>
      </c>
      <c r="AQ11" s="20">
        <v>157294</v>
      </c>
      <c r="AR11" s="20">
        <v>89874</v>
      </c>
      <c r="AS11" s="20">
        <v>84716</v>
      </c>
      <c r="AT11" s="210"/>
      <c r="AU11" s="21">
        <v>12110.46</v>
      </c>
      <c r="AV11" s="50">
        <f t="shared" si="18"/>
        <v>0.14999888691832206</v>
      </c>
      <c r="AW11" s="51">
        <f t="shared" si="18"/>
        <v>0.21179543360993491</v>
      </c>
      <c r="AX11" s="51">
        <f t="shared" si="18"/>
        <v>0.49832407190333478</v>
      </c>
      <c r="AY11" s="51">
        <f t="shared" si="18"/>
        <v>0.21668707988157121</v>
      </c>
      <c r="AZ11" s="51">
        <f t="shared" si="18"/>
        <v>0.22445308173901063</v>
      </c>
      <c r="BA11" s="211"/>
      <c r="BB11" s="52">
        <f t="shared" si="5"/>
        <v>5.2339999651656172E-2</v>
      </c>
      <c r="BC11" s="50" t="s">
        <v>226</v>
      </c>
      <c r="BD11" s="53">
        <f t="shared" si="19"/>
        <v>6.1796546691612857</v>
      </c>
      <c r="BE11" s="53">
        <f t="shared" si="19"/>
        <v>34.832518498501273</v>
      </c>
      <c r="BF11" s="53">
        <f t="shared" si="19"/>
        <v>6.6688192963249158</v>
      </c>
      <c r="BG11" s="53">
        <f>(AZ11-$AV11)*100</f>
        <v>7.4454194820688571</v>
      </c>
      <c r="BH11" s="212"/>
      <c r="BI11" s="54">
        <f t="shared" si="8"/>
        <v>-9.7658887266665886</v>
      </c>
      <c r="BJ11" s="2" t="s">
        <v>226</v>
      </c>
      <c r="BK11" s="55">
        <f t="shared" si="20"/>
        <v>6.1796546691612857</v>
      </c>
      <c r="BL11" s="55">
        <f t="shared" si="20"/>
        <v>28.652863829339985</v>
      </c>
      <c r="BM11" s="55">
        <f t="shared" si="20"/>
        <v>-28.163699202176357</v>
      </c>
      <c r="BN11" s="55">
        <f t="shared" si="20"/>
        <v>0.77660018574394196</v>
      </c>
      <c r="BO11" s="213"/>
      <c r="BP11" s="56"/>
      <c r="BQ11" s="50">
        <f t="shared" ref="BQ11:BR12" si="29">T11/M11</f>
        <v>0</v>
      </c>
      <c r="BR11" s="51">
        <f t="shared" si="29"/>
        <v>1.5105740181268882E-3</v>
      </c>
      <c r="BS11" s="51">
        <f>V11/O11</f>
        <v>1.5105740181268882E-3</v>
      </c>
      <c r="BT11" s="211"/>
      <c r="BU11" s="52">
        <f t="shared" ref="BU11:BU54" si="30">X11/Q11</f>
        <v>0</v>
      </c>
      <c r="BV11" s="410"/>
      <c r="BW11" s="57"/>
    </row>
    <row r="12" spans="1:75" x14ac:dyDescent="0.25">
      <c r="A12" s="12">
        <v>20</v>
      </c>
      <c r="B12" s="17" t="s">
        <v>12</v>
      </c>
      <c r="C12" s="2">
        <v>0</v>
      </c>
      <c r="D12" s="3">
        <v>0</v>
      </c>
      <c r="E12" s="3">
        <v>0</v>
      </c>
      <c r="F12" s="144"/>
      <c r="G12" s="4">
        <v>38</v>
      </c>
      <c r="H12" s="2">
        <v>761</v>
      </c>
      <c r="I12" s="3">
        <v>761</v>
      </c>
      <c r="J12" s="3">
        <v>761</v>
      </c>
      <c r="K12" s="144"/>
      <c r="L12" s="4">
        <v>335</v>
      </c>
      <c r="M12" s="2">
        <v>125</v>
      </c>
      <c r="N12" s="3">
        <v>168</v>
      </c>
      <c r="O12" s="3">
        <v>170</v>
      </c>
      <c r="P12" s="144"/>
      <c r="Q12" s="4">
        <v>25</v>
      </c>
      <c r="R12" s="2">
        <v>4</v>
      </c>
      <c r="S12" s="3">
        <v>12</v>
      </c>
      <c r="T12" s="3">
        <v>12</v>
      </c>
      <c r="U12" s="3">
        <v>12</v>
      </c>
      <c r="V12" s="3">
        <v>8</v>
      </c>
      <c r="W12" s="144"/>
      <c r="X12" s="4">
        <v>5</v>
      </c>
      <c r="Y12" s="5">
        <f>AVERAGE((19.3+21.16+24.03+24.73+22.93+23.54)/6)</f>
        <v>22.614999999999998</v>
      </c>
      <c r="Z12" s="3"/>
      <c r="AA12" s="3"/>
      <c r="AB12" s="144"/>
      <c r="AC12" s="3"/>
      <c r="AD12" s="148"/>
      <c r="AE12" s="3"/>
      <c r="AF12" s="153"/>
      <c r="AG12" s="86">
        <v>46.31</v>
      </c>
      <c r="AH12" s="19">
        <v>183837.1</v>
      </c>
      <c r="AI12" s="20">
        <v>191445.79</v>
      </c>
      <c r="AJ12" s="20">
        <v>254662.06</v>
      </c>
      <c r="AK12" s="20">
        <v>365236.23</v>
      </c>
      <c r="AL12" s="20">
        <v>250314.25</v>
      </c>
      <c r="AM12" s="210"/>
      <c r="AN12" s="21">
        <v>303883.34000000003</v>
      </c>
      <c r="AO12" s="19">
        <v>2029</v>
      </c>
      <c r="AP12" s="20">
        <v>0</v>
      </c>
      <c r="AQ12" s="20">
        <v>4819.7</v>
      </c>
      <c r="AR12" s="20">
        <v>8197.66</v>
      </c>
      <c r="AS12" s="20">
        <v>8316.2199999999993</v>
      </c>
      <c r="AT12" s="210"/>
      <c r="AU12" s="21">
        <v>23395.15</v>
      </c>
      <c r="AV12" s="50">
        <f t="shared" si="18"/>
        <v>1.1036945208556923E-2</v>
      </c>
      <c r="AW12" s="51">
        <f t="shared" si="18"/>
        <v>0</v>
      </c>
      <c r="AX12" s="51">
        <f t="shared" si="18"/>
        <v>1.8925865910296963E-2</v>
      </c>
      <c r="AY12" s="51">
        <f t="shared" si="18"/>
        <v>2.2444816057815512E-2</v>
      </c>
      <c r="AZ12" s="51">
        <f t="shared" si="18"/>
        <v>3.3223118539995225E-2</v>
      </c>
      <c r="BA12" s="211"/>
      <c r="BB12" s="52">
        <f t="shared" si="5"/>
        <v>7.6987274129605127E-2</v>
      </c>
      <c r="BC12" s="50" t="s">
        <v>226</v>
      </c>
      <c r="BD12" s="53">
        <f t="shared" si="19"/>
        <v>-1.1036945208556923</v>
      </c>
      <c r="BE12" s="53">
        <f t="shared" si="19"/>
        <v>0.78889207017400398</v>
      </c>
      <c r="BF12" s="53">
        <f t="shared" si="19"/>
        <v>1.140787084925859</v>
      </c>
      <c r="BG12" s="53">
        <f>(AZ12-$AV12)*100</f>
        <v>2.2186173331438304</v>
      </c>
      <c r="BH12" s="212"/>
      <c r="BI12" s="54">
        <f t="shared" si="8"/>
        <v>6.59503289210482</v>
      </c>
      <c r="BJ12" s="2" t="s">
        <v>226</v>
      </c>
      <c r="BK12" s="55">
        <f t="shared" si="20"/>
        <v>-1.1036945208556923</v>
      </c>
      <c r="BL12" s="55">
        <f t="shared" si="20"/>
        <v>1.8925865910296964</v>
      </c>
      <c r="BM12" s="55">
        <f t="shared" si="20"/>
        <v>0.35189501475185492</v>
      </c>
      <c r="BN12" s="55">
        <f>(AZ12-AY12)*100</f>
        <v>1.0778302482179714</v>
      </c>
      <c r="BO12" s="213"/>
      <c r="BP12" s="56"/>
      <c r="BQ12" s="50">
        <f t="shared" si="29"/>
        <v>9.6000000000000002E-2</v>
      </c>
      <c r="BR12" s="51">
        <f t="shared" si="29"/>
        <v>7.1428571428571425E-2</v>
      </c>
      <c r="BS12" s="51">
        <f>V12/O12</f>
        <v>4.7058823529411764E-2</v>
      </c>
      <c r="BT12" s="211"/>
      <c r="BU12" s="52">
        <f t="shared" si="30"/>
        <v>0.2</v>
      </c>
      <c r="BV12" s="410"/>
      <c r="BW12" s="57"/>
    </row>
    <row r="13" spans="1:75" x14ac:dyDescent="0.25">
      <c r="A13" s="12">
        <v>21</v>
      </c>
      <c r="B13" s="17" t="s">
        <v>401</v>
      </c>
      <c r="C13" s="2"/>
      <c r="D13" s="3"/>
      <c r="E13" s="3"/>
      <c r="F13" s="144"/>
      <c r="G13" s="4">
        <v>116</v>
      </c>
      <c r="H13" s="2"/>
      <c r="I13" s="3"/>
      <c r="J13" s="3"/>
      <c r="K13" s="144"/>
      <c r="L13" s="4">
        <v>0</v>
      </c>
      <c r="M13" s="2"/>
      <c r="N13" s="3"/>
      <c r="O13" s="3"/>
      <c r="P13" s="144"/>
      <c r="Q13" s="4">
        <v>788</v>
      </c>
      <c r="R13" s="2"/>
      <c r="S13" s="3"/>
      <c r="T13" s="3"/>
      <c r="U13" s="3"/>
      <c r="V13" s="3"/>
      <c r="W13" s="144"/>
      <c r="X13" s="4">
        <v>95</v>
      </c>
      <c r="Y13" s="2"/>
      <c r="Z13" s="3"/>
      <c r="AA13" s="3"/>
      <c r="AB13" s="144"/>
      <c r="AC13" s="3"/>
      <c r="AD13" s="148"/>
      <c r="AE13" s="3"/>
      <c r="AF13" s="153"/>
      <c r="AG13" s="86">
        <v>53.41</v>
      </c>
      <c r="AH13" s="19"/>
      <c r="AI13" s="20"/>
      <c r="AJ13" s="20"/>
      <c r="AK13" s="20"/>
      <c r="AL13" s="20"/>
      <c r="AM13" s="210"/>
      <c r="AN13" s="21">
        <v>1886930.44</v>
      </c>
      <c r="AO13" s="19"/>
      <c r="AP13" s="20"/>
      <c r="AQ13" s="20"/>
      <c r="AR13" s="20"/>
      <c r="AS13" s="20"/>
      <c r="AT13" s="210"/>
      <c r="AU13" s="21">
        <v>288124.93</v>
      </c>
      <c r="AV13" s="50"/>
      <c r="AW13" s="51"/>
      <c r="AX13" s="51"/>
      <c r="AY13" s="51"/>
      <c r="AZ13" s="51"/>
      <c r="BA13" s="211"/>
      <c r="BB13" s="52">
        <f t="shared" si="5"/>
        <v>0.15269504582267485</v>
      </c>
      <c r="BC13" s="50" t="s">
        <v>226</v>
      </c>
      <c r="BD13" s="53"/>
      <c r="BE13" s="53"/>
      <c r="BF13" s="53"/>
      <c r="BG13" s="53"/>
      <c r="BH13" s="212"/>
      <c r="BI13" s="54"/>
      <c r="BJ13" s="2" t="s">
        <v>226</v>
      </c>
      <c r="BK13" s="55"/>
      <c r="BL13" s="55"/>
      <c r="BM13" s="55"/>
      <c r="BN13" s="55"/>
      <c r="BO13" s="213"/>
      <c r="BP13" s="56"/>
      <c r="BQ13" s="50"/>
      <c r="BR13" s="51"/>
      <c r="BS13" s="51"/>
      <c r="BT13" s="211"/>
      <c r="BU13" s="52">
        <f t="shared" si="30"/>
        <v>0.12055837563451777</v>
      </c>
      <c r="BV13" s="410"/>
      <c r="BW13" s="57"/>
    </row>
    <row r="14" spans="1:75" x14ac:dyDescent="0.25">
      <c r="A14" s="12">
        <v>25</v>
      </c>
      <c r="B14" s="17" t="s">
        <v>15</v>
      </c>
      <c r="C14" s="2"/>
      <c r="D14" s="3"/>
      <c r="E14" s="3"/>
      <c r="F14" s="3">
        <v>24</v>
      </c>
      <c r="G14" s="144"/>
      <c r="H14" s="2"/>
      <c r="I14" s="3"/>
      <c r="J14" s="3"/>
      <c r="K14" s="3">
        <v>4116</v>
      </c>
      <c r="L14" s="4"/>
      <c r="M14" s="2"/>
      <c r="N14" s="3"/>
      <c r="O14" s="3"/>
      <c r="P14" s="144">
        <v>670</v>
      </c>
      <c r="Q14" s="4"/>
      <c r="R14" s="2"/>
      <c r="S14" s="3"/>
      <c r="T14" s="3"/>
      <c r="U14" s="3"/>
      <c r="V14" s="3"/>
      <c r="W14" s="144">
        <v>22</v>
      </c>
      <c r="X14" s="4"/>
      <c r="Y14" s="2"/>
      <c r="Z14" s="3"/>
      <c r="AA14" s="3"/>
      <c r="AB14" s="144"/>
      <c r="AC14" s="3"/>
      <c r="AD14" s="3"/>
      <c r="AE14" s="3"/>
      <c r="AF14" s="49"/>
      <c r="AG14" s="86"/>
      <c r="AH14" s="19"/>
      <c r="AI14" s="20"/>
      <c r="AJ14" s="20"/>
      <c r="AK14" s="20"/>
      <c r="AL14" s="20"/>
      <c r="AM14" s="210">
        <v>974890</v>
      </c>
      <c r="AN14" s="21"/>
      <c r="AO14" s="19"/>
      <c r="AP14" s="20"/>
      <c r="AQ14" s="20"/>
      <c r="AR14" s="20"/>
      <c r="AS14" s="20"/>
      <c r="AT14" s="210">
        <v>91316</v>
      </c>
      <c r="AU14" s="210"/>
      <c r="AV14" s="50"/>
      <c r="AW14" s="51"/>
      <c r="AX14" s="51"/>
      <c r="AY14" s="51"/>
      <c r="AZ14" s="51"/>
      <c r="BA14" s="51">
        <v>0.09</v>
      </c>
      <c r="BB14" s="211"/>
      <c r="BC14" s="50" t="s">
        <v>226</v>
      </c>
      <c r="BD14" s="53"/>
      <c r="BE14" s="53"/>
      <c r="BF14" s="53"/>
      <c r="BG14" s="53"/>
      <c r="BH14" s="53"/>
      <c r="BI14" s="212"/>
      <c r="BJ14" s="2" t="s">
        <v>226</v>
      </c>
      <c r="BK14" s="55"/>
      <c r="BL14" s="55"/>
      <c r="BM14" s="55"/>
      <c r="BN14" s="55"/>
      <c r="BO14" s="55"/>
      <c r="BP14" s="213"/>
      <c r="BQ14" s="50"/>
      <c r="BR14" s="51"/>
      <c r="BS14" s="51"/>
      <c r="BT14" s="51">
        <f t="shared" ref="BT14" si="31">W14/P14</f>
        <v>3.2835820895522387E-2</v>
      </c>
      <c r="BU14" s="211"/>
      <c r="BV14" s="409"/>
      <c r="BW14" s="57"/>
    </row>
    <row r="15" spans="1:75" x14ac:dyDescent="0.25">
      <c r="A15" s="12">
        <v>25</v>
      </c>
      <c r="B15" s="17" t="s">
        <v>137</v>
      </c>
      <c r="C15" s="2">
        <v>19</v>
      </c>
      <c r="D15" s="3">
        <v>19</v>
      </c>
      <c r="E15" s="3">
        <v>19</v>
      </c>
      <c r="F15" s="144"/>
      <c r="G15" s="4">
        <v>37</v>
      </c>
      <c r="H15" s="2">
        <v>951</v>
      </c>
      <c r="I15" s="3">
        <v>935</v>
      </c>
      <c r="J15" s="3">
        <v>913</v>
      </c>
      <c r="K15" s="144"/>
      <c r="L15" s="4">
        <v>469</v>
      </c>
      <c r="M15" s="2">
        <v>57</v>
      </c>
      <c r="N15" s="3">
        <v>68</v>
      </c>
      <c r="O15" s="3">
        <v>73</v>
      </c>
      <c r="P15" s="144"/>
      <c r="Q15" s="4">
        <v>47</v>
      </c>
      <c r="R15" s="2">
        <v>6</v>
      </c>
      <c r="S15" s="3">
        <v>4</v>
      </c>
      <c r="T15" s="3">
        <v>2</v>
      </c>
      <c r="U15" s="3">
        <v>0</v>
      </c>
      <c r="V15" s="3">
        <v>0</v>
      </c>
      <c r="W15" s="144"/>
      <c r="X15" s="4">
        <v>0</v>
      </c>
      <c r="Y15" s="2" t="s">
        <v>130</v>
      </c>
      <c r="Z15" s="3" t="s">
        <v>131</v>
      </c>
      <c r="AA15" s="3" t="s">
        <v>83</v>
      </c>
      <c r="AB15" s="144" t="s">
        <v>132</v>
      </c>
      <c r="AC15" s="3" t="s">
        <v>132</v>
      </c>
      <c r="AD15" s="148">
        <v>0.79</v>
      </c>
      <c r="AE15" s="3">
        <v>0.98</v>
      </c>
      <c r="AF15" s="153"/>
      <c r="AG15" s="86">
        <v>44.78</v>
      </c>
      <c r="AH15" s="19">
        <v>52425.85</v>
      </c>
      <c r="AI15" s="20">
        <v>57456.41</v>
      </c>
      <c r="AJ15" s="20">
        <v>82830.990000000005</v>
      </c>
      <c r="AK15" s="20">
        <v>87600.8</v>
      </c>
      <c r="AL15" s="20">
        <v>110464.9</v>
      </c>
      <c r="AM15" s="210"/>
      <c r="AN15" s="21">
        <v>373080</v>
      </c>
      <c r="AO15" s="19">
        <v>7450</v>
      </c>
      <c r="AP15" s="20">
        <v>9545</v>
      </c>
      <c r="AQ15" s="20">
        <v>13270</v>
      </c>
      <c r="AR15" s="20">
        <v>15340</v>
      </c>
      <c r="AS15" s="20">
        <v>17160</v>
      </c>
      <c r="AT15" s="210"/>
      <c r="AU15" s="21">
        <v>19208</v>
      </c>
      <c r="AV15" s="50">
        <f t="shared" ref="AV15:BA18" si="32">AO15/AH15</f>
        <v>0.14210546896235349</v>
      </c>
      <c r="AW15" s="51">
        <f t="shared" si="32"/>
        <v>0.16612593790666697</v>
      </c>
      <c r="AX15" s="51">
        <f t="shared" si="32"/>
        <v>0.16020573942192409</v>
      </c>
      <c r="AY15" s="51">
        <f t="shared" si="32"/>
        <v>0.17511255604971643</v>
      </c>
      <c r="AZ15" s="51">
        <f t="shared" si="32"/>
        <v>0.15534346204088359</v>
      </c>
      <c r="BA15" s="211"/>
      <c r="BB15" s="52">
        <f t="shared" si="5"/>
        <v>5.1484936206711698E-2</v>
      </c>
      <c r="BC15" s="50" t="s">
        <v>226</v>
      </c>
      <c r="BD15" s="53">
        <f t="shared" ref="BD15:BH18" si="33">(AW15-$AV15)*100</f>
        <v>2.402046894431348</v>
      </c>
      <c r="BE15" s="53">
        <f t="shared" si="33"/>
        <v>1.8100270459570607</v>
      </c>
      <c r="BF15" s="53">
        <f t="shared" si="33"/>
        <v>3.3007087087362939</v>
      </c>
      <c r="BG15" s="53">
        <f>(AZ15-$AV15)*100</f>
        <v>1.3237993078530104</v>
      </c>
      <c r="BH15" s="212"/>
      <c r="BI15" s="54">
        <f t="shared" si="8"/>
        <v>-9.0620532755641783</v>
      </c>
      <c r="BJ15" s="2" t="s">
        <v>226</v>
      </c>
      <c r="BK15" s="55">
        <f t="shared" ref="BK15:BP18" si="34">(AW15-AV15)*100</f>
        <v>2.402046894431348</v>
      </c>
      <c r="BL15" s="55">
        <f t="shared" si="34"/>
        <v>-0.59201984847428724</v>
      </c>
      <c r="BM15" s="55">
        <f t="shared" si="34"/>
        <v>1.4906816627792336</v>
      </c>
      <c r="BN15" s="55">
        <f>(AZ15-AY15)*100</f>
        <v>-1.9769094008832839</v>
      </c>
      <c r="BO15" s="213"/>
      <c r="BP15" s="56"/>
      <c r="BQ15" s="50">
        <f t="shared" ref="BQ15:BT18" si="35">T15/M15</f>
        <v>3.5087719298245612E-2</v>
      </c>
      <c r="BR15" s="51">
        <f t="shared" si="35"/>
        <v>0</v>
      </c>
      <c r="BS15" s="51">
        <f>V15/O15</f>
        <v>0</v>
      </c>
      <c r="BT15" s="211"/>
      <c r="BU15" s="52">
        <f t="shared" si="30"/>
        <v>0</v>
      </c>
      <c r="BV15" s="410"/>
      <c r="BW15" s="57"/>
    </row>
    <row r="16" spans="1:75" s="24" customFormat="1" x14ac:dyDescent="0.25">
      <c r="A16" s="12">
        <v>25</v>
      </c>
      <c r="B16" s="17" t="s">
        <v>304</v>
      </c>
      <c r="C16" s="2">
        <v>0</v>
      </c>
      <c r="D16" s="3">
        <v>0</v>
      </c>
      <c r="E16" s="3">
        <v>0</v>
      </c>
      <c r="F16" s="144"/>
      <c r="G16" s="4">
        <v>32</v>
      </c>
      <c r="H16" s="2">
        <v>3785</v>
      </c>
      <c r="I16" s="3">
        <v>3779</v>
      </c>
      <c r="J16" s="3">
        <v>3781</v>
      </c>
      <c r="K16" s="144"/>
      <c r="L16" s="4">
        <v>3679</v>
      </c>
      <c r="M16" s="2">
        <v>228</v>
      </c>
      <c r="N16" s="3">
        <v>268</v>
      </c>
      <c r="O16" s="3">
        <v>367</v>
      </c>
      <c r="P16" s="144"/>
      <c r="Q16" s="4">
        <v>374</v>
      </c>
      <c r="R16" s="2">
        <v>3</v>
      </c>
      <c r="S16" s="3">
        <v>4</v>
      </c>
      <c r="T16" s="3">
        <v>11</v>
      </c>
      <c r="U16" s="3">
        <v>0</v>
      </c>
      <c r="V16" s="3">
        <v>53</v>
      </c>
      <c r="W16" s="144"/>
      <c r="X16" s="4">
        <v>8</v>
      </c>
      <c r="Y16" s="2">
        <v>22.71</v>
      </c>
      <c r="Z16" s="49">
        <v>24</v>
      </c>
      <c r="AA16" s="3">
        <v>35.729999999999997</v>
      </c>
      <c r="AB16" s="144">
        <v>35.729999999999997</v>
      </c>
      <c r="AC16" s="3">
        <v>35.729999999999997</v>
      </c>
      <c r="AD16" s="148"/>
      <c r="AE16" s="3"/>
      <c r="AF16" s="153"/>
      <c r="AG16" s="86">
        <v>40.86</v>
      </c>
      <c r="AH16" s="19">
        <v>313231</v>
      </c>
      <c r="AI16" s="20">
        <v>319495</v>
      </c>
      <c r="AJ16" s="20">
        <v>425119</v>
      </c>
      <c r="AK16" s="20">
        <v>598855</v>
      </c>
      <c r="AL16" s="20">
        <v>578396</v>
      </c>
      <c r="AM16" s="210"/>
      <c r="AN16" s="21">
        <v>844237</v>
      </c>
      <c r="AO16" s="19">
        <v>41346</v>
      </c>
      <c r="AP16" s="20">
        <v>30672</v>
      </c>
      <c r="AQ16" s="20">
        <v>38218</v>
      </c>
      <c r="AR16" s="20">
        <v>74258</v>
      </c>
      <c r="AS16" s="20">
        <v>67672</v>
      </c>
      <c r="AT16" s="210"/>
      <c r="AU16" s="21">
        <v>181240</v>
      </c>
      <c r="AV16" s="50">
        <f t="shared" si="32"/>
        <v>0.13199842927424169</v>
      </c>
      <c r="AW16" s="51">
        <f t="shared" si="32"/>
        <v>9.6001502370929123E-2</v>
      </c>
      <c r="AX16" s="51">
        <f t="shared" si="32"/>
        <v>8.9899534012829352E-2</v>
      </c>
      <c r="AY16" s="51">
        <f t="shared" si="32"/>
        <v>0.12399996660293393</v>
      </c>
      <c r="AZ16" s="51">
        <f t="shared" si="32"/>
        <v>0.11699942599879667</v>
      </c>
      <c r="BA16" s="211"/>
      <c r="BB16" s="52">
        <f t="shared" si="5"/>
        <v>0.21467905339377449</v>
      </c>
      <c r="BC16" s="50"/>
      <c r="BD16" s="53">
        <f t="shared" si="33"/>
        <v>-3.5996926903312563</v>
      </c>
      <c r="BE16" s="53">
        <f t="shared" si="33"/>
        <v>-4.2098895261412332</v>
      </c>
      <c r="BF16" s="53">
        <f t="shared" si="33"/>
        <v>-0.79984626713077578</v>
      </c>
      <c r="BG16" s="53">
        <f>(AZ16-$AV16)*100</f>
        <v>-1.4999003275445011</v>
      </c>
      <c r="BH16" s="212"/>
      <c r="BI16" s="54">
        <f t="shared" si="8"/>
        <v>8.2680624119532808</v>
      </c>
      <c r="BJ16" s="2"/>
      <c r="BK16" s="55">
        <f t="shared" si="34"/>
        <v>-3.5996926903312563</v>
      </c>
      <c r="BL16" s="55">
        <f t="shared" si="34"/>
        <v>-0.61019683580997719</v>
      </c>
      <c r="BM16" s="55">
        <f t="shared" si="34"/>
        <v>3.4100432590104575</v>
      </c>
      <c r="BN16" s="55">
        <f>(AZ16-AY16)*100</f>
        <v>-0.70005406041372531</v>
      </c>
      <c r="BO16" s="213"/>
      <c r="BP16" s="56"/>
      <c r="BQ16" s="50">
        <f t="shared" si="35"/>
        <v>4.8245614035087717E-2</v>
      </c>
      <c r="BR16" s="51">
        <f t="shared" si="35"/>
        <v>0</v>
      </c>
      <c r="BS16" s="51">
        <f>V16/O16</f>
        <v>0.1444141689373297</v>
      </c>
      <c r="BT16" s="211"/>
      <c r="BU16" s="52">
        <f t="shared" si="30"/>
        <v>2.1390374331550801E-2</v>
      </c>
      <c r="BV16" s="410"/>
      <c r="BW16" s="57"/>
    </row>
    <row r="17" spans="1:75" x14ac:dyDescent="0.25">
      <c r="A17" s="12">
        <v>33</v>
      </c>
      <c r="B17" s="17" t="s">
        <v>158</v>
      </c>
      <c r="C17" s="2">
        <v>3</v>
      </c>
      <c r="D17" s="3">
        <v>3</v>
      </c>
      <c r="E17" s="3">
        <v>3</v>
      </c>
      <c r="F17" s="144">
        <v>1</v>
      </c>
      <c r="G17" s="4">
        <v>0</v>
      </c>
      <c r="H17" s="2">
        <v>2175</v>
      </c>
      <c r="I17" s="3">
        <v>2157</v>
      </c>
      <c r="J17" s="3">
        <v>2233</v>
      </c>
      <c r="K17" s="144">
        <v>2270</v>
      </c>
      <c r="L17" s="4">
        <v>2296</v>
      </c>
      <c r="M17" s="2">
        <v>22</v>
      </c>
      <c r="N17" s="3">
        <v>477</v>
      </c>
      <c r="O17" s="3">
        <v>840</v>
      </c>
      <c r="P17" s="144">
        <v>651</v>
      </c>
      <c r="Q17" s="4">
        <v>603</v>
      </c>
      <c r="R17" s="2">
        <v>3</v>
      </c>
      <c r="S17" s="3">
        <v>5</v>
      </c>
      <c r="T17" s="3">
        <v>16</v>
      </c>
      <c r="U17" s="3">
        <v>153</v>
      </c>
      <c r="V17" s="3">
        <v>211</v>
      </c>
      <c r="W17" s="144">
        <v>184</v>
      </c>
      <c r="X17" s="4">
        <v>0</v>
      </c>
      <c r="Y17" s="2">
        <v>20.37</v>
      </c>
      <c r="Z17" s="3">
        <v>23.96</v>
      </c>
      <c r="AA17" s="3">
        <v>28.16</v>
      </c>
      <c r="AB17" s="144">
        <v>43.96</v>
      </c>
      <c r="AC17" s="3">
        <v>39.15</v>
      </c>
      <c r="AD17" s="148"/>
      <c r="AE17" s="3"/>
      <c r="AF17" s="144">
        <v>39.15</v>
      </c>
      <c r="AG17" s="144">
        <v>39.15</v>
      </c>
      <c r="AH17" s="19">
        <v>334933</v>
      </c>
      <c r="AI17" s="20">
        <v>375787</v>
      </c>
      <c r="AJ17" s="20">
        <v>451317</v>
      </c>
      <c r="AK17" s="20">
        <v>688214</v>
      </c>
      <c r="AL17" s="20">
        <v>721217</v>
      </c>
      <c r="AM17" s="210">
        <v>765621</v>
      </c>
      <c r="AN17" s="21">
        <v>717133</v>
      </c>
      <c r="AO17" s="19">
        <v>23015</v>
      </c>
      <c r="AP17" s="20">
        <v>25951</v>
      </c>
      <c r="AQ17" s="20">
        <v>40204</v>
      </c>
      <c r="AR17" s="20">
        <v>113137</v>
      </c>
      <c r="AS17" s="20">
        <v>165545</v>
      </c>
      <c r="AT17" s="210">
        <v>61610</v>
      </c>
      <c r="AU17" s="21">
        <v>38496</v>
      </c>
      <c r="AV17" s="50">
        <f t="shared" si="32"/>
        <v>6.8715235584430323E-2</v>
      </c>
      <c r="AW17" s="51">
        <f t="shared" si="32"/>
        <v>6.9057737494910676E-2</v>
      </c>
      <c r="AX17" s="51">
        <f t="shared" si="32"/>
        <v>8.9081510335307562E-2</v>
      </c>
      <c r="AY17" s="51">
        <f t="shared" si="32"/>
        <v>0.16439218033925493</v>
      </c>
      <c r="AZ17" s="51">
        <f t="shared" si="32"/>
        <v>0.22953563213290867</v>
      </c>
      <c r="BA17" s="211">
        <f t="shared" si="32"/>
        <v>8.0470624499589222E-2</v>
      </c>
      <c r="BB17" s="52">
        <f t="shared" si="5"/>
        <v>5.3680419113330442E-2</v>
      </c>
      <c r="BC17" s="50" t="s">
        <v>226</v>
      </c>
      <c r="BD17" s="53">
        <f t="shared" si="33"/>
        <v>3.4250191048035283E-2</v>
      </c>
      <c r="BE17" s="53">
        <f t="shared" si="33"/>
        <v>2.036627475087724</v>
      </c>
      <c r="BF17" s="53">
        <f t="shared" si="33"/>
        <v>9.56769447548246</v>
      </c>
      <c r="BG17" s="53">
        <f t="shared" si="33"/>
        <v>16.082039654847836</v>
      </c>
      <c r="BH17" s="212">
        <f t="shared" si="33"/>
        <v>1.17553889151589</v>
      </c>
      <c r="BI17" s="54">
        <f t="shared" si="8"/>
        <v>-1.5034816471099881</v>
      </c>
      <c r="BJ17" s="2" t="s">
        <v>226</v>
      </c>
      <c r="BK17" s="55">
        <f t="shared" si="34"/>
        <v>3.4250191048035283E-2</v>
      </c>
      <c r="BL17" s="55">
        <f t="shared" si="34"/>
        <v>2.0023772840396887</v>
      </c>
      <c r="BM17" s="55">
        <f t="shared" si="34"/>
        <v>7.5310670003947369</v>
      </c>
      <c r="BN17" s="55">
        <f t="shared" si="34"/>
        <v>6.5143451793653746</v>
      </c>
      <c r="BO17" s="213">
        <f t="shared" si="34"/>
        <v>-14.906500763331945</v>
      </c>
      <c r="BP17" s="56">
        <f t="shared" si="34"/>
        <v>-2.6790205386258781</v>
      </c>
      <c r="BQ17" s="50">
        <f t="shared" si="35"/>
        <v>0.72727272727272729</v>
      </c>
      <c r="BR17" s="51">
        <f t="shared" si="35"/>
        <v>0.32075471698113206</v>
      </c>
      <c r="BS17" s="51">
        <f t="shared" si="35"/>
        <v>0.25119047619047619</v>
      </c>
      <c r="BT17" s="211">
        <f t="shared" si="35"/>
        <v>0.28264208909370198</v>
      </c>
      <c r="BU17" s="52">
        <f t="shared" si="30"/>
        <v>0</v>
      </c>
      <c r="BV17" s="410">
        <f t="shared" ref="BV17:BV18" si="36">(AG17-AF17)/AF17</f>
        <v>0</v>
      </c>
      <c r="BW17" s="57">
        <f t="shared" ref="BW17:BW18" si="37">(Q17-P17)/P17</f>
        <v>-7.3732718894009217E-2</v>
      </c>
    </row>
    <row r="18" spans="1:75" x14ac:dyDescent="0.25">
      <c r="A18" s="12">
        <v>34</v>
      </c>
      <c r="B18" s="17" t="s">
        <v>406</v>
      </c>
      <c r="C18" s="2">
        <v>0</v>
      </c>
      <c r="D18" s="3">
        <v>0</v>
      </c>
      <c r="E18" s="3">
        <v>0</v>
      </c>
      <c r="F18" s="144">
        <v>0</v>
      </c>
      <c r="G18" s="4">
        <v>0</v>
      </c>
      <c r="H18" s="2">
        <v>1310</v>
      </c>
      <c r="I18" s="3">
        <v>1310</v>
      </c>
      <c r="J18" s="3">
        <v>1310</v>
      </c>
      <c r="K18" s="144">
        <v>1313</v>
      </c>
      <c r="L18" s="4">
        <v>1305</v>
      </c>
      <c r="M18" s="2">
        <v>139</v>
      </c>
      <c r="N18" s="3">
        <v>180</v>
      </c>
      <c r="O18" s="3">
        <v>219</v>
      </c>
      <c r="P18" s="144">
        <v>245</v>
      </c>
      <c r="Q18" s="4">
        <v>221</v>
      </c>
      <c r="R18" s="2">
        <v>5</v>
      </c>
      <c r="S18" s="3">
        <v>7</v>
      </c>
      <c r="T18" s="3">
        <v>15</v>
      </c>
      <c r="U18" s="3">
        <v>18</v>
      </c>
      <c r="V18" s="3">
        <v>20</v>
      </c>
      <c r="W18" s="144">
        <v>19</v>
      </c>
      <c r="X18" s="4">
        <v>25</v>
      </c>
      <c r="Y18" s="2"/>
      <c r="Z18" s="3"/>
      <c r="AA18" s="3"/>
      <c r="AB18" s="144"/>
      <c r="AC18" s="3"/>
      <c r="AD18" s="148"/>
      <c r="AE18" s="3"/>
      <c r="AF18" s="153">
        <v>42.58</v>
      </c>
      <c r="AG18" s="86">
        <v>44.95</v>
      </c>
      <c r="AH18" s="19">
        <v>335753</v>
      </c>
      <c r="AI18" s="20">
        <v>317684</v>
      </c>
      <c r="AJ18" s="20">
        <v>414698</v>
      </c>
      <c r="AK18" s="20">
        <v>400623</v>
      </c>
      <c r="AL18" s="20">
        <v>464020</v>
      </c>
      <c r="AM18" s="210">
        <v>519687</v>
      </c>
      <c r="AN18" s="21">
        <v>595987.27</v>
      </c>
      <c r="AO18" s="19">
        <v>28738</v>
      </c>
      <c r="AP18" s="20">
        <v>27938</v>
      </c>
      <c r="AQ18" s="20">
        <v>36736</v>
      </c>
      <c r="AR18" s="20">
        <v>79444</v>
      </c>
      <c r="AS18" s="20">
        <v>113228</v>
      </c>
      <c r="AT18" s="210">
        <v>26058</v>
      </c>
      <c r="AU18" s="21">
        <v>30145.599999999999</v>
      </c>
      <c r="AV18" s="50">
        <f t="shared" si="32"/>
        <v>8.5592682716163368E-2</v>
      </c>
      <c r="AW18" s="51">
        <f t="shared" si="32"/>
        <v>8.7942735548532505E-2</v>
      </c>
      <c r="AX18" s="51">
        <f t="shared" si="32"/>
        <v>8.8584946153586461E-2</v>
      </c>
      <c r="AY18" s="51">
        <f t="shared" si="32"/>
        <v>0.19830114596515927</v>
      </c>
      <c r="AZ18" s="51">
        <f t="shared" si="32"/>
        <v>0.24401534416619974</v>
      </c>
      <c r="BA18" s="211">
        <f t="shared" si="32"/>
        <v>5.0141719919874851E-2</v>
      </c>
      <c r="BB18" s="52">
        <f t="shared" si="5"/>
        <v>5.0580946133295765E-2</v>
      </c>
      <c r="BC18" s="50" t="s">
        <v>226</v>
      </c>
      <c r="BD18" s="53">
        <f t="shared" si="33"/>
        <v>0.23500528323691372</v>
      </c>
      <c r="BE18" s="53">
        <f t="shared" si="33"/>
        <v>0.29922634374230928</v>
      </c>
      <c r="BF18" s="53">
        <f t="shared" si="33"/>
        <v>11.27084632489959</v>
      </c>
      <c r="BG18" s="53">
        <f t="shared" si="33"/>
        <v>15.842266145003636</v>
      </c>
      <c r="BH18" s="212">
        <f>(BA18-$AV18)*100</f>
        <v>-3.5450962796288517</v>
      </c>
      <c r="BI18" s="54">
        <f t="shared" si="8"/>
        <v>-3.5011736582867603</v>
      </c>
      <c r="BJ18" s="2" t="s">
        <v>226</v>
      </c>
      <c r="BK18" s="55">
        <f t="shared" si="34"/>
        <v>0.23500528323691372</v>
      </c>
      <c r="BL18" s="55">
        <f t="shared" si="34"/>
        <v>6.4221060505395555E-2</v>
      </c>
      <c r="BM18" s="55">
        <f t="shared" si="34"/>
        <v>10.97161998115728</v>
      </c>
      <c r="BN18" s="55">
        <f t="shared" si="34"/>
        <v>4.5714198201040475</v>
      </c>
      <c r="BO18" s="213">
        <f>(BA18-AZ18)*100</f>
        <v>-19.387362424632489</v>
      </c>
      <c r="BP18" s="56">
        <f t="shared" si="34"/>
        <v>4.3922621342091378E-2</v>
      </c>
      <c r="BQ18" s="50">
        <f t="shared" si="35"/>
        <v>0.1079136690647482</v>
      </c>
      <c r="BR18" s="51">
        <f t="shared" si="35"/>
        <v>0.1</v>
      </c>
      <c r="BS18" s="51">
        <f t="shared" si="35"/>
        <v>9.1324200913242004E-2</v>
      </c>
      <c r="BT18" s="211">
        <f>W18/P18</f>
        <v>7.7551020408163265E-2</v>
      </c>
      <c r="BU18" s="52">
        <f t="shared" si="30"/>
        <v>0.11312217194570136</v>
      </c>
      <c r="BV18" s="410">
        <f t="shared" si="36"/>
        <v>5.5659934241428011E-2</v>
      </c>
      <c r="BW18" s="57">
        <f t="shared" si="37"/>
        <v>-9.7959183673469383E-2</v>
      </c>
    </row>
    <row r="19" spans="1:75" x14ac:dyDescent="0.25">
      <c r="A19" s="12">
        <v>37</v>
      </c>
      <c r="B19" s="17" t="s">
        <v>103</v>
      </c>
      <c r="C19" s="2">
        <v>39</v>
      </c>
      <c r="D19" s="3">
        <v>39</v>
      </c>
      <c r="E19" s="3">
        <v>39</v>
      </c>
      <c r="F19" s="3"/>
      <c r="G19" s="144"/>
      <c r="H19" s="2">
        <v>1240</v>
      </c>
      <c r="I19" s="3">
        <v>1240</v>
      </c>
      <c r="J19" s="3">
        <v>1240</v>
      </c>
      <c r="K19" s="3"/>
      <c r="L19" s="4"/>
      <c r="M19" s="2">
        <v>442</v>
      </c>
      <c r="N19" s="3">
        <v>548</v>
      </c>
      <c r="O19" s="144">
        <v>583</v>
      </c>
      <c r="P19" s="144"/>
      <c r="Q19" s="4"/>
      <c r="R19" s="2">
        <v>8</v>
      </c>
      <c r="S19" s="3">
        <v>25</v>
      </c>
      <c r="T19" s="3">
        <v>36</v>
      </c>
      <c r="U19" s="3">
        <v>24</v>
      </c>
      <c r="V19" s="144">
        <v>23</v>
      </c>
      <c r="W19" s="144"/>
      <c r="X19" s="4"/>
      <c r="Y19" s="5">
        <f>AVERAGE((26.18+22.82+27.31)/3)</f>
        <v>25.436666666666667</v>
      </c>
      <c r="Z19" s="49">
        <f>AVERAGE((32.58+33.34+34.11)/3)</f>
        <v>33.343333333333334</v>
      </c>
      <c r="AA19" s="49">
        <f>AVERAGE((33.34+35.39+42.05)/3)</f>
        <v>36.926666666666669</v>
      </c>
      <c r="AB19" s="49">
        <f>AVERAGE((38.01+35.84+35.21)/3)</f>
        <v>36.353333333333332</v>
      </c>
      <c r="AC19" s="49">
        <f>AVERAGE((37.08+37.7+39.57)/3)</f>
        <v>38.116666666666667</v>
      </c>
      <c r="AD19" s="49"/>
      <c r="AE19" s="49"/>
      <c r="AF19" s="49"/>
      <c r="AG19" s="86"/>
      <c r="AH19" s="19">
        <v>373453.39</v>
      </c>
      <c r="AI19" s="20">
        <v>377727.75</v>
      </c>
      <c r="AJ19" s="20">
        <v>463318.43</v>
      </c>
      <c r="AK19" s="20">
        <v>550567.81999999995</v>
      </c>
      <c r="AL19" s="210">
        <v>510419.5</v>
      </c>
      <c r="AM19" s="210"/>
      <c r="AN19" s="21"/>
      <c r="AO19" s="19">
        <v>38575.379999999997</v>
      </c>
      <c r="AP19" s="20">
        <v>32247.25</v>
      </c>
      <c r="AQ19" s="20">
        <v>39218.379999999997</v>
      </c>
      <c r="AR19" s="20">
        <v>71473.72</v>
      </c>
      <c r="AS19" s="210">
        <v>127580.86</v>
      </c>
      <c r="AT19" s="210"/>
      <c r="AU19" s="210"/>
      <c r="AV19" s="50">
        <f>AO19/AH19</f>
        <v>0.10329369349144212</v>
      </c>
      <c r="AW19" s="51">
        <f>AP19/AI19</f>
        <v>8.5371673116417843E-2</v>
      </c>
      <c r="AX19" s="51">
        <f>AQ19/AJ19</f>
        <v>8.4646708312466651E-2</v>
      </c>
      <c r="AY19" s="51">
        <f>AR19/AK19</f>
        <v>0.12981819387845808</v>
      </c>
      <c r="AZ19" s="51">
        <f>AS19/AL19</f>
        <v>0.24995295046525456</v>
      </c>
      <c r="BA19" s="51"/>
      <c r="BB19" s="211"/>
      <c r="BC19" s="50" t="s">
        <v>226</v>
      </c>
      <c r="BD19" s="53">
        <f>(AW19-$AV19)*100</f>
        <v>-1.7922020375024272</v>
      </c>
      <c r="BE19" s="53">
        <f>(AX19-$AV19)*100</f>
        <v>-1.8646985178975464</v>
      </c>
      <c r="BF19" s="53">
        <f>(AY19-$AV19)*100</f>
        <v>2.6524500387015966</v>
      </c>
      <c r="BG19" s="53">
        <f>(AZ19-$AV19)*100</f>
        <v>14.665925697381244</v>
      </c>
      <c r="BH19" s="53"/>
      <c r="BI19" s="212"/>
      <c r="BJ19" s="2" t="s">
        <v>226</v>
      </c>
      <c r="BK19" s="55">
        <f>(AW19-AV19)*100</f>
        <v>-1.7922020375024272</v>
      </c>
      <c r="BL19" s="55">
        <f>(AX19-AW19)*100</f>
        <v>-7.2496480395119189E-2</v>
      </c>
      <c r="BM19" s="55">
        <f>(AY19-AX19)*100</f>
        <v>4.5171485565991434</v>
      </c>
      <c r="BN19" s="55">
        <f>(AZ19-AY19)*100</f>
        <v>12.013475658679647</v>
      </c>
      <c r="BO19" s="55"/>
      <c r="BP19" s="213"/>
      <c r="BQ19" s="50">
        <f>T19/M19</f>
        <v>8.1447963800904979E-2</v>
      </c>
      <c r="BR19" s="51">
        <f>U19/N19</f>
        <v>4.3795620437956206E-2</v>
      </c>
      <c r="BS19" s="51">
        <f>V19/O19</f>
        <v>3.9451114922813037E-2</v>
      </c>
      <c r="BT19" s="51"/>
      <c r="BU19" s="211"/>
      <c r="BV19" s="409"/>
      <c r="BW19" s="57"/>
    </row>
    <row r="20" spans="1:75" x14ac:dyDescent="0.25">
      <c r="A20" s="12">
        <v>42</v>
      </c>
      <c r="B20" s="17" t="s">
        <v>23</v>
      </c>
      <c r="C20" s="2">
        <v>1</v>
      </c>
      <c r="D20" s="3">
        <v>11</v>
      </c>
      <c r="E20" s="3">
        <v>11</v>
      </c>
      <c r="F20" s="144">
        <v>0</v>
      </c>
      <c r="G20" s="4">
        <v>0</v>
      </c>
      <c r="H20" s="2">
        <v>947</v>
      </c>
      <c r="I20" s="3">
        <v>941</v>
      </c>
      <c r="J20" s="3">
        <v>941</v>
      </c>
      <c r="K20" s="144">
        <v>993</v>
      </c>
      <c r="L20" s="4">
        <v>969</v>
      </c>
      <c r="M20" s="2">
        <v>161</v>
      </c>
      <c r="N20" s="3">
        <v>199</v>
      </c>
      <c r="O20" s="3">
        <v>160</v>
      </c>
      <c r="P20" s="144">
        <v>150</v>
      </c>
      <c r="Q20" s="4">
        <v>168</v>
      </c>
      <c r="R20" s="2">
        <v>4</v>
      </c>
      <c r="S20" s="3">
        <v>0</v>
      </c>
      <c r="T20" s="3">
        <v>10</v>
      </c>
      <c r="U20" s="3">
        <v>27</v>
      </c>
      <c r="V20" s="3">
        <v>25</v>
      </c>
      <c r="W20" s="144">
        <v>47</v>
      </c>
      <c r="X20" s="4">
        <v>32</v>
      </c>
      <c r="Y20" s="2">
        <v>22.83</v>
      </c>
      <c r="Z20" s="3">
        <v>23.594999999999999</v>
      </c>
      <c r="AA20" s="3">
        <v>34.375</v>
      </c>
      <c r="AB20" s="144">
        <v>44.32</v>
      </c>
      <c r="AC20" s="3">
        <v>33.564999999999998</v>
      </c>
      <c r="AD20" s="148"/>
      <c r="AE20" s="3"/>
      <c r="AF20" s="153">
        <v>40.534999999999997</v>
      </c>
      <c r="AG20" s="86">
        <v>42.12</v>
      </c>
      <c r="AH20" s="19">
        <v>51084</v>
      </c>
      <c r="AI20" s="20">
        <v>54623</v>
      </c>
      <c r="AJ20" s="20">
        <v>179646</v>
      </c>
      <c r="AK20" s="20">
        <v>269002</v>
      </c>
      <c r="AL20" s="20">
        <v>207175</v>
      </c>
      <c r="AM20" s="210">
        <v>273633</v>
      </c>
      <c r="AN20" s="21">
        <v>333588</v>
      </c>
      <c r="AO20" s="19">
        <v>3542</v>
      </c>
      <c r="AP20" s="20">
        <v>2744</v>
      </c>
      <c r="AQ20" s="20">
        <v>6780</v>
      </c>
      <c r="AR20" s="20">
        <v>15424</v>
      </c>
      <c r="AS20" s="20">
        <v>14365</v>
      </c>
      <c r="AT20" s="210">
        <v>23348.27</v>
      </c>
      <c r="AU20" s="21">
        <v>23814</v>
      </c>
      <c r="AV20" s="50">
        <v>6.9336778639104216E-2</v>
      </c>
      <c r="AW20" s="51">
        <v>5.0235248887831131E-2</v>
      </c>
      <c r="AX20" s="51">
        <v>3.7740890417821714E-2</v>
      </c>
      <c r="AY20" s="51">
        <v>5.7337863659006255E-2</v>
      </c>
      <c r="AZ20" s="51">
        <v>6.9337516592252929E-2</v>
      </c>
      <c r="BA20" s="211">
        <v>8.5326952524001132E-2</v>
      </c>
      <c r="BB20" s="52">
        <f t="shared" si="5"/>
        <v>7.1387459980574844E-2</v>
      </c>
      <c r="BC20" s="50" t="s">
        <v>226</v>
      </c>
      <c r="BD20" s="53">
        <v>-1.9101529751273085</v>
      </c>
      <c r="BE20" s="53">
        <v>-3.1595888221282502</v>
      </c>
      <c r="BF20" s="53">
        <v>-1.1998914980097961</v>
      </c>
      <c r="BG20" s="53">
        <v>7.3795314871338835E-5</v>
      </c>
      <c r="BH20" s="212">
        <v>1.5990173884896917</v>
      </c>
      <c r="BI20" s="54">
        <f t="shared" si="8"/>
        <v>0.20506813414706282</v>
      </c>
      <c r="BJ20" s="2" t="s">
        <v>226</v>
      </c>
      <c r="BK20" s="55">
        <v>-1.9101529751273085</v>
      </c>
      <c r="BL20" s="55">
        <v>-1.2494358470009417</v>
      </c>
      <c r="BM20" s="55">
        <v>1.9596973241184541</v>
      </c>
      <c r="BN20" s="55">
        <v>1.1999652933246674</v>
      </c>
      <c r="BO20" s="213">
        <v>1.5989435931748202</v>
      </c>
      <c r="BP20" s="56">
        <f t="shared" ref="BP20:BP54" si="38">(BB20-BA20)*100</f>
        <v>-1.3939492543426288</v>
      </c>
      <c r="BQ20" s="50">
        <v>6.2111801242236024E-2</v>
      </c>
      <c r="BR20" s="51">
        <v>0.135678391959799</v>
      </c>
      <c r="BS20" s="51">
        <v>0.15625</v>
      </c>
      <c r="BT20" s="211">
        <v>0.31333333333333335</v>
      </c>
      <c r="BU20" s="52">
        <f t="shared" si="30"/>
        <v>0.19047619047619047</v>
      </c>
      <c r="BV20" s="410">
        <f t="shared" ref="BV20:BV54" si="39">(AG20-AF20)/AF20</f>
        <v>3.9102010608116466E-2</v>
      </c>
      <c r="BW20" s="57">
        <f t="shared" si="16"/>
        <v>0.12</v>
      </c>
    </row>
    <row r="21" spans="1:75" x14ac:dyDescent="0.25">
      <c r="A21" s="12">
        <v>45</v>
      </c>
      <c r="B21" s="17" t="s">
        <v>24</v>
      </c>
      <c r="C21" s="2"/>
      <c r="D21" s="3"/>
      <c r="E21" s="3"/>
      <c r="F21" s="3"/>
      <c r="G21" s="144"/>
      <c r="H21" s="2"/>
      <c r="I21" s="3">
        <v>1293</v>
      </c>
      <c r="J21" s="3">
        <v>1318</v>
      </c>
      <c r="K21" s="3"/>
      <c r="L21" s="4"/>
      <c r="M21" s="2"/>
      <c r="N21" s="3">
        <v>112</v>
      </c>
      <c r="O21" s="144">
        <v>304</v>
      </c>
      <c r="P21" s="144"/>
      <c r="Q21" s="4"/>
      <c r="R21" s="2"/>
      <c r="S21" s="3"/>
      <c r="T21" s="3"/>
      <c r="U21" s="3">
        <v>65</v>
      </c>
      <c r="V21" s="144">
        <v>76</v>
      </c>
      <c r="W21" s="144"/>
      <c r="X21" s="4"/>
      <c r="Y21" s="2"/>
      <c r="Z21" s="3">
        <v>21.22</v>
      </c>
      <c r="AA21" s="3">
        <v>27.59</v>
      </c>
      <c r="AB21" s="3">
        <v>42.99</v>
      </c>
      <c r="AC21" s="3">
        <v>32.49</v>
      </c>
      <c r="AD21" s="3"/>
      <c r="AE21" s="3"/>
      <c r="AF21" s="3"/>
      <c r="AG21" s="4"/>
      <c r="AH21" s="19"/>
      <c r="AI21" s="20"/>
      <c r="AJ21" s="20"/>
      <c r="AK21" s="20">
        <v>3069</v>
      </c>
      <c r="AL21" s="210">
        <v>104521</v>
      </c>
      <c r="AM21" s="210"/>
      <c r="AN21" s="21"/>
      <c r="AO21" s="19"/>
      <c r="AP21" s="20"/>
      <c r="AQ21" s="20"/>
      <c r="AR21" s="20">
        <v>927</v>
      </c>
      <c r="AS21" s="210">
        <v>16903</v>
      </c>
      <c r="AT21" s="210"/>
      <c r="AU21" s="210"/>
      <c r="AV21" s="50"/>
      <c r="AW21" s="51"/>
      <c r="AX21" s="51"/>
      <c r="AY21" s="51"/>
      <c r="AZ21" s="51">
        <f>AS21/AL21</f>
        <v>0.16171869767797858</v>
      </c>
      <c r="BA21" s="51"/>
      <c r="BB21" s="211"/>
      <c r="BC21" s="50" t="s">
        <v>226</v>
      </c>
      <c r="BD21" s="53"/>
      <c r="BE21" s="53"/>
      <c r="BF21" s="53"/>
      <c r="BG21" s="53"/>
      <c r="BH21" s="53"/>
      <c r="BI21" s="212"/>
      <c r="BJ21" s="2" t="s">
        <v>226</v>
      </c>
      <c r="BK21" s="55"/>
      <c r="BL21" s="55"/>
      <c r="BM21" s="55"/>
      <c r="BN21" s="55"/>
      <c r="BO21" s="55"/>
      <c r="BP21" s="213"/>
      <c r="BQ21" s="50"/>
      <c r="BR21" s="51">
        <f>U21/N21</f>
        <v>0.5803571428571429</v>
      </c>
      <c r="BS21" s="51">
        <f>V21/O21</f>
        <v>0.25</v>
      </c>
      <c r="BT21" s="51"/>
      <c r="BU21" s="211"/>
      <c r="BV21" s="409"/>
      <c r="BW21" s="57"/>
    </row>
    <row r="22" spans="1:75" s="24" customFormat="1" x14ac:dyDescent="0.25">
      <c r="A22" s="12">
        <v>46</v>
      </c>
      <c r="B22" s="17" t="s">
        <v>389</v>
      </c>
      <c r="C22" s="2">
        <v>22</v>
      </c>
      <c r="D22" s="3">
        <v>22</v>
      </c>
      <c r="E22" s="3">
        <v>22</v>
      </c>
      <c r="F22" s="144"/>
      <c r="G22" s="4">
        <v>24</v>
      </c>
      <c r="H22" s="2">
        <v>1252</v>
      </c>
      <c r="I22" s="3">
        <v>1200</v>
      </c>
      <c r="J22" s="3">
        <v>1174</v>
      </c>
      <c r="K22" s="144"/>
      <c r="L22" s="4">
        <v>633</v>
      </c>
      <c r="M22" s="2">
        <v>299</v>
      </c>
      <c r="N22" s="3">
        <v>330</v>
      </c>
      <c r="O22" s="3">
        <v>335</v>
      </c>
      <c r="P22" s="144"/>
      <c r="Q22" s="4">
        <v>163</v>
      </c>
      <c r="R22" s="2">
        <v>0</v>
      </c>
      <c r="S22" s="3">
        <v>0</v>
      </c>
      <c r="T22" s="3">
        <v>2</v>
      </c>
      <c r="U22" s="3">
        <v>12</v>
      </c>
      <c r="V22" s="3">
        <v>12</v>
      </c>
      <c r="W22" s="144"/>
      <c r="X22" s="4">
        <v>39</v>
      </c>
      <c r="Y22" s="2" t="s">
        <v>314</v>
      </c>
      <c r="Z22" s="3" t="s">
        <v>315</v>
      </c>
      <c r="AA22" s="3" t="s">
        <v>316</v>
      </c>
      <c r="AB22" s="144" t="s">
        <v>316</v>
      </c>
      <c r="AC22" s="3" t="s">
        <v>316</v>
      </c>
      <c r="AD22" s="3" t="s">
        <v>316</v>
      </c>
      <c r="AE22" s="3" t="s">
        <v>316</v>
      </c>
      <c r="AF22" s="3"/>
      <c r="AG22" s="3">
        <v>33.68</v>
      </c>
      <c r="AH22" s="19">
        <v>124745</v>
      </c>
      <c r="AI22" s="20">
        <v>117222</v>
      </c>
      <c r="AJ22" s="20">
        <v>144003</v>
      </c>
      <c r="AK22" s="20">
        <v>205573</v>
      </c>
      <c r="AL22" s="20">
        <v>205962</v>
      </c>
      <c r="AM22" s="210"/>
      <c r="AN22" s="21">
        <v>190530</v>
      </c>
      <c r="AO22" s="19">
        <v>12384</v>
      </c>
      <c r="AP22" s="20">
        <v>10720</v>
      </c>
      <c r="AQ22" s="20">
        <v>16670</v>
      </c>
      <c r="AR22" s="20">
        <v>27527</v>
      </c>
      <c r="AS22" s="20">
        <v>46826</v>
      </c>
      <c r="AT22" s="210"/>
      <c r="AU22" s="21">
        <v>70296</v>
      </c>
      <c r="AV22" s="50">
        <f>AO22/AH22</f>
        <v>9.9274520020842513E-2</v>
      </c>
      <c r="AW22" s="51">
        <f>AP22/AI22</f>
        <v>9.1450410332531443E-2</v>
      </c>
      <c r="AX22" s="51">
        <f>AQ22/AJ22</f>
        <v>0.1157614771914474</v>
      </c>
      <c r="AY22" s="51">
        <f>AR22/AK22</f>
        <v>0.13390377140966955</v>
      </c>
      <c r="AZ22" s="51">
        <f>AS22/AL22</f>
        <v>0.22735261844417903</v>
      </c>
      <c r="BA22" s="211"/>
      <c r="BB22" s="52">
        <f t="shared" si="5"/>
        <v>0.36894977168949772</v>
      </c>
      <c r="BC22" s="50" t="s">
        <v>226</v>
      </c>
      <c r="BD22" s="53">
        <f>(AW22-$AV22)*100</f>
        <v>-0.78241096883110706</v>
      </c>
      <c r="BE22" s="53">
        <f>(AX22-$AV22)*100</f>
        <v>1.6486957170604888</v>
      </c>
      <c r="BF22" s="53">
        <f>(AY22-$AV22)*100</f>
        <v>3.4629251388827038</v>
      </c>
      <c r="BG22" s="53">
        <f>(AZ22-$AV22)*100</f>
        <v>12.807809842333651</v>
      </c>
      <c r="BH22" s="212"/>
      <c r="BI22" s="54">
        <f t="shared" ref="BI22:BI54" si="40">(BB22-$AV22)*100</f>
        <v>26.967525166865521</v>
      </c>
      <c r="BJ22" s="2" t="s">
        <v>226</v>
      </c>
      <c r="BK22" s="55">
        <f>(AW22-AV22)*100</f>
        <v>-0.78241096883110706</v>
      </c>
      <c r="BL22" s="55">
        <f>(AX22-AW22)*100</f>
        <v>2.4311066858915957</v>
      </c>
      <c r="BM22" s="55">
        <f>(AY22-AX22)*100</f>
        <v>1.8142294218222152</v>
      </c>
      <c r="BN22" s="55">
        <f>(AZ22-AY22)*100</f>
        <v>9.3448847034509477</v>
      </c>
      <c r="BO22" s="213"/>
      <c r="BP22" s="56"/>
      <c r="BQ22" s="50">
        <f>T22/M22</f>
        <v>6.688963210702341E-3</v>
      </c>
      <c r="BR22" s="51">
        <f>U22/N22</f>
        <v>3.6363636363636362E-2</v>
      </c>
      <c r="BS22" s="51"/>
      <c r="BT22" s="211"/>
      <c r="BU22" s="52">
        <f t="shared" si="30"/>
        <v>0.2392638036809816</v>
      </c>
      <c r="BV22" s="410"/>
      <c r="BW22" s="57"/>
    </row>
    <row r="23" spans="1:75" x14ac:dyDescent="0.25">
      <c r="A23" s="12">
        <v>47</v>
      </c>
      <c r="B23" s="17" t="s">
        <v>25</v>
      </c>
      <c r="C23" s="2"/>
      <c r="D23" s="3"/>
      <c r="E23" s="3"/>
      <c r="F23" s="144">
        <v>8</v>
      </c>
      <c r="G23" s="4">
        <v>8</v>
      </c>
      <c r="H23" s="2"/>
      <c r="I23" s="3"/>
      <c r="J23" s="3"/>
      <c r="K23" s="144">
        <v>2137</v>
      </c>
      <c r="L23" s="4">
        <v>2137</v>
      </c>
      <c r="M23" s="2"/>
      <c r="N23" s="3"/>
      <c r="O23" s="3"/>
      <c r="P23" s="144">
        <v>660</v>
      </c>
      <c r="Q23" s="4">
        <v>651</v>
      </c>
      <c r="R23" s="2"/>
      <c r="S23" s="3"/>
      <c r="T23" s="3"/>
      <c r="U23" s="3"/>
      <c r="V23" s="3"/>
      <c r="W23" s="144">
        <v>53</v>
      </c>
      <c r="X23" s="4">
        <v>64</v>
      </c>
      <c r="Y23" s="2"/>
      <c r="Z23" s="3"/>
      <c r="AA23" s="3"/>
      <c r="AB23" s="144"/>
      <c r="AC23" s="3"/>
      <c r="AD23" s="148"/>
      <c r="AE23" s="3"/>
      <c r="AF23" s="153">
        <v>39.82</v>
      </c>
      <c r="AG23" s="153">
        <v>39.82</v>
      </c>
      <c r="AH23" s="19"/>
      <c r="AI23" s="20"/>
      <c r="AJ23" s="20"/>
      <c r="AK23" s="20"/>
      <c r="AL23" s="20"/>
      <c r="AM23" s="210">
        <v>873348</v>
      </c>
      <c r="AN23" s="21">
        <v>820772</v>
      </c>
      <c r="AO23" s="19"/>
      <c r="AP23" s="20"/>
      <c r="AQ23" s="20"/>
      <c r="AR23" s="20"/>
      <c r="AS23" s="20"/>
      <c r="AT23" s="210">
        <v>67702</v>
      </c>
      <c r="AU23" s="21">
        <v>66726</v>
      </c>
      <c r="AV23" s="50"/>
      <c r="AW23" s="51"/>
      <c r="AX23" s="51"/>
      <c r="AY23" s="51"/>
      <c r="AZ23" s="51"/>
      <c r="BA23" s="211">
        <f t="shared" ref="BA23:BA24" si="41">AT23/AM23</f>
        <v>7.7520072181993888E-2</v>
      </c>
      <c r="BB23" s="52">
        <f t="shared" si="5"/>
        <v>8.1296632926074475E-2</v>
      </c>
      <c r="BC23" s="50" t="s">
        <v>226</v>
      </c>
      <c r="BD23" s="53"/>
      <c r="BE23" s="53"/>
      <c r="BF23" s="53"/>
      <c r="BG23" s="53"/>
      <c r="BH23" s="212"/>
      <c r="BI23" s="54"/>
      <c r="BJ23" s="2" t="s">
        <v>226</v>
      </c>
      <c r="BK23" s="55"/>
      <c r="BL23" s="55"/>
      <c r="BM23" s="55"/>
      <c r="BN23" s="55"/>
      <c r="BO23" s="213"/>
      <c r="BP23" s="56">
        <f t="shared" ref="BP23:BP24" si="42">(BB23-BA23)*100</f>
        <v>0.37765607440805871</v>
      </c>
      <c r="BQ23" s="50"/>
      <c r="BR23" s="51"/>
      <c r="BS23" s="51"/>
      <c r="BT23" s="211">
        <f t="shared" ref="BT23:BT24" si="43">W23/P23</f>
        <v>8.0303030303030307E-2</v>
      </c>
      <c r="BU23" s="52">
        <f t="shared" si="30"/>
        <v>9.8310291858678955E-2</v>
      </c>
      <c r="BV23" s="410">
        <f t="shared" ref="BV23:BV24" si="44">(AG23-AF23)/AF23</f>
        <v>0</v>
      </c>
      <c r="BW23" s="57">
        <f t="shared" ref="BW23:BW24" si="45">(Q23-P23)/P23</f>
        <v>-1.3636363636363636E-2</v>
      </c>
    </row>
    <row r="24" spans="1:75" x14ac:dyDescent="0.25">
      <c r="A24" s="12">
        <v>50</v>
      </c>
      <c r="B24" s="17" t="s">
        <v>162</v>
      </c>
      <c r="C24" s="2">
        <v>0</v>
      </c>
      <c r="D24" s="3">
        <v>2</v>
      </c>
      <c r="E24" s="3">
        <v>6</v>
      </c>
      <c r="F24" s="144">
        <v>6</v>
      </c>
      <c r="G24" s="4">
        <v>6</v>
      </c>
      <c r="H24" s="2">
        <v>1990</v>
      </c>
      <c r="I24" s="3">
        <v>1934</v>
      </c>
      <c r="J24" s="3">
        <v>1975</v>
      </c>
      <c r="K24" s="144">
        <v>2200</v>
      </c>
      <c r="L24" s="4">
        <v>2200</v>
      </c>
      <c r="M24" s="2">
        <v>230</v>
      </c>
      <c r="N24" s="3">
        <v>373</v>
      </c>
      <c r="O24" s="3">
        <v>393</v>
      </c>
      <c r="P24" s="144">
        <v>442</v>
      </c>
      <c r="Q24" s="4">
        <v>405</v>
      </c>
      <c r="R24" s="2">
        <v>68</v>
      </c>
      <c r="S24" s="3">
        <v>67</v>
      </c>
      <c r="T24" s="3">
        <v>21</v>
      </c>
      <c r="U24" s="3">
        <v>10</v>
      </c>
      <c r="V24" s="3">
        <v>8</v>
      </c>
      <c r="W24" s="144">
        <v>0</v>
      </c>
      <c r="X24" s="4">
        <v>7</v>
      </c>
      <c r="Y24" s="5">
        <v>29.5</v>
      </c>
      <c r="Z24" s="49">
        <v>34.75</v>
      </c>
      <c r="AA24" s="49">
        <v>37.5</v>
      </c>
      <c r="AB24" s="153">
        <v>36.5</v>
      </c>
      <c r="AC24" s="49">
        <v>35</v>
      </c>
      <c r="AD24" s="149"/>
      <c r="AE24" s="49"/>
      <c r="AF24" s="153">
        <v>35</v>
      </c>
      <c r="AG24" s="153">
        <v>35</v>
      </c>
      <c r="AH24" s="19">
        <v>370705</v>
      </c>
      <c r="AI24" s="20">
        <v>333560</v>
      </c>
      <c r="AJ24" s="20">
        <v>346895</v>
      </c>
      <c r="AK24" s="20">
        <v>474536</v>
      </c>
      <c r="AL24" s="20">
        <v>515698</v>
      </c>
      <c r="AM24" s="210">
        <v>453675</v>
      </c>
      <c r="AN24" s="21">
        <v>479327</v>
      </c>
      <c r="AO24" s="19">
        <v>81431</v>
      </c>
      <c r="AP24" s="20">
        <v>72562</v>
      </c>
      <c r="AQ24" s="20">
        <v>10000</v>
      </c>
      <c r="AR24" s="20">
        <v>36455</v>
      </c>
      <c r="AS24" s="20">
        <v>35621</v>
      </c>
      <c r="AT24" s="210">
        <v>16784</v>
      </c>
      <c r="AU24" s="21">
        <v>158558</v>
      </c>
      <c r="AV24" s="50">
        <f t="shared" ref="AV24:AZ24" si="46">AO24/AH24</f>
        <v>0.21966523246247016</v>
      </c>
      <c r="AW24" s="51">
        <f t="shared" si="46"/>
        <v>0.21753807410960546</v>
      </c>
      <c r="AX24" s="51">
        <f t="shared" si="46"/>
        <v>2.8827166721918738E-2</v>
      </c>
      <c r="AY24" s="51">
        <f t="shared" si="46"/>
        <v>7.6822411787514547E-2</v>
      </c>
      <c r="AZ24" s="51">
        <f t="shared" si="46"/>
        <v>6.9073372400125649E-2</v>
      </c>
      <c r="BA24" s="211">
        <f t="shared" si="41"/>
        <v>3.6995646663360332E-2</v>
      </c>
      <c r="BB24" s="52">
        <f t="shared" si="5"/>
        <v>0.33079296597103858</v>
      </c>
      <c r="BC24" s="50" t="s">
        <v>226</v>
      </c>
      <c r="BD24" s="53">
        <f t="shared" ref="BD24:BI24" si="47">(AW24-$AV24)*100</f>
        <v>-0.21271583528646998</v>
      </c>
      <c r="BE24" s="53">
        <f t="shared" si="47"/>
        <v>-19.083806574055142</v>
      </c>
      <c r="BF24" s="53">
        <f t="shared" si="47"/>
        <v>-14.284282067495562</v>
      </c>
      <c r="BG24" s="53">
        <f t="shared" si="47"/>
        <v>-15.059186006234452</v>
      </c>
      <c r="BH24" s="212">
        <f t="shared" si="47"/>
        <v>-18.266958579910984</v>
      </c>
      <c r="BI24" s="54">
        <f t="shared" si="47"/>
        <v>11.112773350856841</v>
      </c>
      <c r="BJ24" s="2" t="s">
        <v>226</v>
      </c>
      <c r="BK24" s="55">
        <f t="shared" ref="BK24:BO24" si="48">(AW24-AV24)*100</f>
        <v>-0.21271583528646998</v>
      </c>
      <c r="BL24" s="55">
        <f t="shared" si="48"/>
        <v>-18.871090738768672</v>
      </c>
      <c r="BM24" s="55">
        <f t="shared" si="48"/>
        <v>4.7995245065595808</v>
      </c>
      <c r="BN24" s="55">
        <f t="shared" si="48"/>
        <v>-0.77490393873888985</v>
      </c>
      <c r="BO24" s="213">
        <f t="shared" si="48"/>
        <v>-3.2077725736765315</v>
      </c>
      <c r="BP24" s="56">
        <f t="shared" si="42"/>
        <v>29.379731930767829</v>
      </c>
      <c r="BQ24" s="50">
        <f t="shared" ref="BQ24:BS24" si="49">T24/M24</f>
        <v>9.1304347826086957E-2</v>
      </c>
      <c r="BR24" s="51">
        <f t="shared" si="49"/>
        <v>2.6809651474530832E-2</v>
      </c>
      <c r="BS24" s="51">
        <f t="shared" si="49"/>
        <v>2.0356234096692113E-2</v>
      </c>
      <c r="BT24" s="211">
        <f t="shared" si="43"/>
        <v>0</v>
      </c>
      <c r="BU24" s="52">
        <f t="shared" si="30"/>
        <v>1.7283950617283949E-2</v>
      </c>
      <c r="BV24" s="410">
        <f t="shared" si="44"/>
        <v>0</v>
      </c>
      <c r="BW24" s="57">
        <f t="shared" si="45"/>
        <v>-8.3710407239818999E-2</v>
      </c>
    </row>
    <row r="25" spans="1:75" x14ac:dyDescent="0.25">
      <c r="A25" s="12">
        <v>52</v>
      </c>
      <c r="B25" s="17" t="s">
        <v>346</v>
      </c>
      <c r="C25" s="2"/>
      <c r="D25" s="3"/>
      <c r="E25" s="3"/>
      <c r="F25" s="3">
        <v>4</v>
      </c>
      <c r="G25" s="144"/>
      <c r="H25" s="2"/>
      <c r="I25" s="3"/>
      <c r="J25" s="3"/>
      <c r="K25" s="3">
        <v>5461</v>
      </c>
      <c r="L25" s="4"/>
      <c r="M25" s="2"/>
      <c r="N25" s="3"/>
      <c r="O25" s="3"/>
      <c r="P25" s="144">
        <v>922</v>
      </c>
      <c r="Q25" s="4"/>
      <c r="R25" s="2"/>
      <c r="S25" s="3"/>
      <c r="T25" s="3"/>
      <c r="U25" s="3"/>
      <c r="V25" s="3"/>
      <c r="W25" s="144">
        <v>315</v>
      </c>
      <c r="X25" s="4"/>
      <c r="Y25" s="2"/>
      <c r="Z25" s="3"/>
      <c r="AA25" s="3"/>
      <c r="AB25" s="144"/>
      <c r="AC25" s="3"/>
      <c r="AD25" s="148"/>
      <c r="AE25" s="3"/>
      <c r="AF25" s="49">
        <v>44.55</v>
      </c>
      <c r="AG25" s="86"/>
      <c r="AH25" s="19"/>
      <c r="AI25" s="20"/>
      <c r="AJ25" s="20"/>
      <c r="AK25" s="20"/>
      <c r="AL25" s="20"/>
      <c r="AM25" s="210">
        <v>740672</v>
      </c>
      <c r="AN25" s="21"/>
      <c r="AO25" s="19"/>
      <c r="AP25" s="20"/>
      <c r="AQ25" s="20"/>
      <c r="AR25" s="20"/>
      <c r="AS25" s="20"/>
      <c r="AT25" s="210">
        <v>64239</v>
      </c>
      <c r="AU25" s="210"/>
      <c r="AV25" s="50"/>
      <c r="AW25" s="51"/>
      <c r="AX25" s="51"/>
      <c r="AY25" s="51"/>
      <c r="AZ25" s="51"/>
      <c r="BA25" s="51">
        <v>0.09</v>
      </c>
      <c r="BB25" s="211"/>
      <c r="BC25" s="50" t="s">
        <v>226</v>
      </c>
      <c r="BD25" s="53"/>
      <c r="BE25" s="53"/>
      <c r="BF25" s="53"/>
      <c r="BG25" s="53"/>
      <c r="BH25" s="53"/>
      <c r="BI25" s="212"/>
      <c r="BJ25" s="2" t="s">
        <v>226</v>
      </c>
      <c r="BK25" s="55"/>
      <c r="BL25" s="55"/>
      <c r="BM25" s="55"/>
      <c r="BN25" s="55"/>
      <c r="BO25" s="55">
        <f t="shared" ref="BO25:BO33" si="50">(BA25-AZ25)*100</f>
        <v>9</v>
      </c>
      <c r="BP25" s="213"/>
      <c r="BQ25" s="50"/>
      <c r="BR25" s="51"/>
      <c r="BS25" s="51"/>
      <c r="BT25" s="51">
        <f t="shared" ref="BT25:BT39" si="51">W25/P25</f>
        <v>0.34164859002169196</v>
      </c>
      <c r="BU25" s="211"/>
      <c r="BV25" s="409"/>
      <c r="BW25" s="57"/>
    </row>
    <row r="26" spans="1:75" s="24" customFormat="1" x14ac:dyDescent="0.25">
      <c r="A26" s="12">
        <v>52</v>
      </c>
      <c r="B26" s="17" t="s">
        <v>303</v>
      </c>
      <c r="C26" s="323">
        <v>5</v>
      </c>
      <c r="D26" s="3">
        <v>5</v>
      </c>
      <c r="E26" s="3">
        <v>6</v>
      </c>
      <c r="F26" s="3">
        <v>75</v>
      </c>
      <c r="G26" s="144"/>
      <c r="H26" s="2">
        <v>1200</v>
      </c>
      <c r="I26" s="3">
        <v>1200</v>
      </c>
      <c r="J26" s="3">
        <v>1192</v>
      </c>
      <c r="K26" s="3">
        <v>0</v>
      </c>
      <c r="L26" s="4"/>
      <c r="M26" s="2"/>
      <c r="N26" s="3">
        <v>78</v>
      </c>
      <c r="O26" s="3">
        <v>61</v>
      </c>
      <c r="P26" s="144">
        <v>69</v>
      </c>
      <c r="Q26" s="4"/>
      <c r="R26" s="2"/>
      <c r="S26" s="3"/>
      <c r="T26" s="3"/>
      <c r="U26" s="3">
        <v>0</v>
      </c>
      <c r="V26" s="3">
        <v>17</v>
      </c>
      <c r="W26" s="144">
        <v>15</v>
      </c>
      <c r="X26" s="4"/>
      <c r="Y26" s="2">
        <v>28.98</v>
      </c>
      <c r="Z26" s="3">
        <v>30.95</v>
      </c>
      <c r="AA26" s="3">
        <v>40.409999999999997</v>
      </c>
      <c r="AB26" s="144">
        <v>40.82</v>
      </c>
      <c r="AC26" s="3">
        <v>42.15</v>
      </c>
      <c r="AD26" s="148"/>
      <c r="AE26" s="3"/>
      <c r="AF26" s="49">
        <v>42.96</v>
      </c>
      <c r="AG26" s="86"/>
      <c r="AH26" s="19">
        <v>394136</v>
      </c>
      <c r="AI26" s="20">
        <v>344759</v>
      </c>
      <c r="AJ26" s="20">
        <v>439568</v>
      </c>
      <c r="AK26" s="20">
        <v>579318</v>
      </c>
      <c r="AL26" s="20">
        <v>457257</v>
      </c>
      <c r="AM26" s="210">
        <v>500051.61</v>
      </c>
      <c r="AN26" s="21"/>
      <c r="AO26" s="19">
        <v>2339</v>
      </c>
      <c r="AP26" s="20">
        <v>757</v>
      </c>
      <c r="AQ26" s="20">
        <v>12264</v>
      </c>
      <c r="AR26" s="20">
        <v>32441</v>
      </c>
      <c r="AS26" s="20">
        <v>2434</v>
      </c>
      <c r="AT26" s="210">
        <v>13741.28</v>
      </c>
      <c r="AU26" s="210"/>
      <c r="AV26" s="50">
        <f>AO26/AH26</f>
        <v>5.9344997665780339E-3</v>
      </c>
      <c r="AW26" s="51">
        <f>AP26/AI26</f>
        <v>2.1957367320360019E-3</v>
      </c>
      <c r="AX26" s="51">
        <f>AQ26/AJ26</f>
        <v>2.7900120117933972E-2</v>
      </c>
      <c r="AY26" s="51">
        <f>AR26/AK26</f>
        <v>5.599860525652578E-2</v>
      </c>
      <c r="AZ26" s="51">
        <f>AS26/AL26</f>
        <v>5.3230459019763506E-3</v>
      </c>
      <c r="BA26" s="51">
        <v>2.7E-2</v>
      </c>
      <c r="BB26" s="211"/>
      <c r="BC26" s="50"/>
      <c r="BD26" s="53">
        <f>(AW26-$AV26)*100</f>
        <v>-0.3738763034542032</v>
      </c>
      <c r="BE26" s="53">
        <f>(AX26-$AV26)*100</f>
        <v>2.1965620351355941</v>
      </c>
      <c r="BF26" s="53">
        <f>(AY26-$AV26)*100</f>
        <v>5.0064105489947748</v>
      </c>
      <c r="BG26" s="53">
        <f>(AZ26-$AV26)*100</f>
        <v>-6.114538646016833E-2</v>
      </c>
      <c r="BH26" s="53">
        <f t="shared" ref="BH26:BH33" si="52">(BA26-$AV26)*100</f>
        <v>2.1065500233421965</v>
      </c>
      <c r="BI26" s="212"/>
      <c r="BJ26" s="2"/>
      <c r="BK26" s="55">
        <f>(AW26-AV26)*100</f>
        <v>-0.3738763034542032</v>
      </c>
      <c r="BL26" s="55">
        <f>(AX26-AW26)*100</f>
        <v>2.5704383385897969</v>
      </c>
      <c r="BM26" s="55">
        <f>(AY26-AX26)*100</f>
        <v>2.8098485138591807</v>
      </c>
      <c r="BN26" s="55">
        <f>(AZ26-AY26)*100</f>
        <v>-5.0675559354549424</v>
      </c>
      <c r="BO26" s="55">
        <f t="shared" si="50"/>
        <v>2.1676954098023651</v>
      </c>
      <c r="BP26" s="213"/>
      <c r="BQ26" s="50"/>
      <c r="BR26" s="51">
        <f t="shared" ref="BR26:BT32" si="53">U26/N26</f>
        <v>0</v>
      </c>
      <c r="BS26" s="51">
        <f t="shared" si="53"/>
        <v>0.27868852459016391</v>
      </c>
      <c r="BT26" s="51">
        <f t="shared" si="51"/>
        <v>0.21739130434782608</v>
      </c>
      <c r="BU26" s="211"/>
      <c r="BV26" s="409"/>
      <c r="BW26" s="57"/>
    </row>
    <row r="27" spans="1:75" s="24" customFormat="1" x14ac:dyDescent="0.25">
      <c r="A27" s="12">
        <v>53</v>
      </c>
      <c r="B27" s="17" t="s">
        <v>29</v>
      </c>
      <c r="C27" s="2">
        <v>41</v>
      </c>
      <c r="D27" s="3">
        <v>41</v>
      </c>
      <c r="E27" s="3">
        <v>41</v>
      </c>
      <c r="F27" s="144">
        <v>41</v>
      </c>
      <c r="G27" s="4">
        <v>0</v>
      </c>
      <c r="H27" s="2">
        <v>3393</v>
      </c>
      <c r="I27" s="3">
        <v>3261</v>
      </c>
      <c r="J27" s="3">
        <v>3160</v>
      </c>
      <c r="K27" s="144">
        <v>2995</v>
      </c>
      <c r="L27" s="4">
        <v>1540</v>
      </c>
      <c r="M27" s="2">
        <v>1062</v>
      </c>
      <c r="N27" s="3">
        <v>1020</v>
      </c>
      <c r="O27" s="3">
        <v>990</v>
      </c>
      <c r="P27" s="144">
        <v>1006</v>
      </c>
      <c r="Q27" s="4">
        <v>1330</v>
      </c>
      <c r="R27" s="2">
        <v>2</v>
      </c>
      <c r="S27" s="3">
        <v>0</v>
      </c>
      <c r="T27" s="3">
        <v>0</v>
      </c>
      <c r="U27" s="3">
        <v>0</v>
      </c>
      <c r="V27" s="3">
        <v>1</v>
      </c>
      <c r="W27" s="144">
        <v>25</v>
      </c>
      <c r="X27" s="4">
        <v>7</v>
      </c>
      <c r="Y27" s="2" t="s">
        <v>167</v>
      </c>
      <c r="Z27" s="3" t="s">
        <v>87</v>
      </c>
      <c r="AA27" s="3"/>
      <c r="AB27" s="144"/>
      <c r="AC27" s="3"/>
      <c r="AD27" s="148"/>
      <c r="AE27" s="3"/>
      <c r="AF27" s="153">
        <v>42.29</v>
      </c>
      <c r="AG27" s="86">
        <v>44.88</v>
      </c>
      <c r="AH27" s="19"/>
      <c r="AI27" s="20"/>
      <c r="AJ27" s="20"/>
      <c r="AK27" s="20"/>
      <c r="AL27" s="20">
        <v>4316541</v>
      </c>
      <c r="AM27" s="210">
        <v>629736</v>
      </c>
      <c r="AN27" s="21">
        <v>692410.66</v>
      </c>
      <c r="AO27" s="19"/>
      <c r="AP27" s="20"/>
      <c r="AQ27" s="20"/>
      <c r="AR27" s="20"/>
      <c r="AS27" s="20">
        <v>135203</v>
      </c>
      <c r="AT27" s="210">
        <v>172518</v>
      </c>
      <c r="AU27" s="21">
        <v>250416.27</v>
      </c>
      <c r="AV27" s="50"/>
      <c r="AW27" s="51"/>
      <c r="AX27" s="51"/>
      <c r="AY27" s="51"/>
      <c r="AZ27" s="51">
        <f>AS27/AL27</f>
        <v>3.1322070148296979E-2</v>
      </c>
      <c r="BA27" s="211">
        <f t="shared" ref="BA27" si="54">AT27/AM27</f>
        <v>0.27395289454628607</v>
      </c>
      <c r="BB27" s="52">
        <f t="shared" si="5"/>
        <v>0.36165860011456202</v>
      </c>
      <c r="BC27" s="50" t="s">
        <v>226</v>
      </c>
      <c r="BD27" s="53"/>
      <c r="BE27" s="53"/>
      <c r="BF27" s="53"/>
      <c r="BG27" s="53"/>
      <c r="BH27" s="212"/>
      <c r="BI27" s="54"/>
      <c r="BJ27" s="2" t="s">
        <v>226</v>
      </c>
      <c r="BK27" s="55"/>
      <c r="BL27" s="55"/>
      <c r="BM27" s="55"/>
      <c r="BN27" s="55"/>
      <c r="BO27" s="213">
        <f t="shared" si="50"/>
        <v>24.263082439798911</v>
      </c>
      <c r="BP27" s="56">
        <f t="shared" si="38"/>
        <v>8.7705705568275949</v>
      </c>
      <c r="BQ27" s="50">
        <f t="shared" ref="BQ27:BS27" si="55">T27/M27</f>
        <v>0</v>
      </c>
      <c r="BR27" s="51">
        <f t="shared" si="55"/>
        <v>0</v>
      </c>
      <c r="BS27" s="51">
        <f t="shared" si="55"/>
        <v>1.0101010101010101E-3</v>
      </c>
      <c r="BT27" s="211">
        <f t="shared" si="51"/>
        <v>2.4850894632206761E-2</v>
      </c>
      <c r="BU27" s="52">
        <f t="shared" si="30"/>
        <v>5.263157894736842E-3</v>
      </c>
      <c r="BV27" s="410">
        <f t="shared" si="39"/>
        <v>6.1243792858831955E-2</v>
      </c>
      <c r="BW27" s="57">
        <f t="shared" si="16"/>
        <v>0.32206759443339961</v>
      </c>
    </row>
    <row r="28" spans="1:75" x14ac:dyDescent="0.25">
      <c r="A28" s="12">
        <v>55</v>
      </c>
      <c r="B28" s="17" t="s">
        <v>388</v>
      </c>
      <c r="C28" s="2">
        <v>64</v>
      </c>
      <c r="D28" s="3">
        <v>64</v>
      </c>
      <c r="E28" s="3">
        <v>64</v>
      </c>
      <c r="F28" s="144"/>
      <c r="G28" s="4">
        <v>3</v>
      </c>
      <c r="H28" s="2">
        <v>23</v>
      </c>
      <c r="I28" s="3">
        <v>21</v>
      </c>
      <c r="J28" s="3">
        <v>21</v>
      </c>
      <c r="K28" s="144"/>
      <c r="L28" s="4">
        <v>2076</v>
      </c>
      <c r="M28" s="2">
        <v>39</v>
      </c>
      <c r="N28" s="3">
        <v>120</v>
      </c>
      <c r="O28" s="3">
        <v>248</v>
      </c>
      <c r="P28" s="144"/>
      <c r="Q28" s="4">
        <v>237</v>
      </c>
      <c r="R28" s="2">
        <v>43</v>
      </c>
      <c r="S28" s="3">
        <v>10</v>
      </c>
      <c r="T28" s="3">
        <v>41</v>
      </c>
      <c r="U28" s="3">
        <v>77</v>
      </c>
      <c r="V28" s="3">
        <v>33</v>
      </c>
      <c r="W28" s="144"/>
      <c r="X28" s="4">
        <v>47</v>
      </c>
      <c r="Y28" s="2">
        <f>(25.35+23.41)/2</f>
        <v>24.380000000000003</v>
      </c>
      <c r="Z28" s="3">
        <f>(27.05+23.41)/2</f>
        <v>25.23</v>
      </c>
      <c r="AA28" s="3">
        <v>33.270000000000003</v>
      </c>
      <c r="AB28" s="144">
        <v>39.369999999999997</v>
      </c>
      <c r="AC28" s="3">
        <v>39.369999999999997</v>
      </c>
      <c r="AD28" s="148"/>
      <c r="AE28" s="3"/>
      <c r="AF28" s="153"/>
      <c r="AG28" s="86">
        <v>39.369999999999997</v>
      </c>
      <c r="AH28" s="19">
        <v>487093</v>
      </c>
      <c r="AI28" s="20">
        <v>440277</v>
      </c>
      <c r="AJ28" s="20">
        <v>561892</v>
      </c>
      <c r="AK28" s="20">
        <v>717571</v>
      </c>
      <c r="AL28" s="20">
        <v>796180</v>
      </c>
      <c r="AM28" s="210"/>
      <c r="AN28" s="21">
        <v>637791.48</v>
      </c>
      <c r="AO28" s="19">
        <v>31157</v>
      </c>
      <c r="AP28" s="20">
        <v>21580</v>
      </c>
      <c r="AQ28" s="20">
        <v>26150</v>
      </c>
      <c r="AR28" s="20">
        <v>46562</v>
      </c>
      <c r="AS28" s="20">
        <v>80026</v>
      </c>
      <c r="AT28" s="210"/>
      <c r="AU28" s="21">
        <v>86975</v>
      </c>
      <c r="AV28" s="50">
        <f t="shared" ref="AV28:BA29" si="56">AO28/AH28</f>
        <v>6.3965197611133812E-2</v>
      </c>
      <c r="AW28" s="51">
        <f t="shared" si="56"/>
        <v>4.9014597628311271E-2</v>
      </c>
      <c r="AX28" s="51">
        <f t="shared" si="56"/>
        <v>4.6539192585051931E-2</v>
      </c>
      <c r="AY28" s="51">
        <f t="shared" si="56"/>
        <v>6.4888352511458802E-2</v>
      </c>
      <c r="AZ28" s="51">
        <f t="shared" si="56"/>
        <v>0.10051244693411038</v>
      </c>
      <c r="BA28" s="211"/>
      <c r="BB28" s="52">
        <f t="shared" si="5"/>
        <v>0.13636902142374183</v>
      </c>
      <c r="BC28" s="50" t="s">
        <v>226</v>
      </c>
      <c r="BD28" s="53">
        <f t="shared" ref="BD28:BH29" si="57">(AW28-$AV28)*100</f>
        <v>-1.4950599982822541</v>
      </c>
      <c r="BE28" s="53">
        <f t="shared" si="57"/>
        <v>-1.7426005026081881</v>
      </c>
      <c r="BF28" s="53">
        <f t="shared" si="57"/>
        <v>9.2315490032499059E-2</v>
      </c>
      <c r="BG28" s="53">
        <f t="shared" si="57"/>
        <v>3.6547249322976567</v>
      </c>
      <c r="BH28" s="212"/>
      <c r="BI28" s="54">
        <f t="shared" si="40"/>
        <v>7.240382381260801</v>
      </c>
      <c r="BJ28" s="2" t="s">
        <v>226</v>
      </c>
      <c r="BK28" s="55">
        <f t="shared" ref="BK28:BP29" si="58">(AW28-AV28)*100</f>
        <v>-1.4950599982822541</v>
      </c>
      <c r="BL28" s="55">
        <f t="shared" si="58"/>
        <v>-0.24754050432593405</v>
      </c>
      <c r="BM28" s="55">
        <f t="shared" si="58"/>
        <v>1.8349159926406871</v>
      </c>
      <c r="BN28" s="55">
        <f t="shared" si="58"/>
        <v>3.5624094422651575</v>
      </c>
      <c r="BO28" s="213"/>
      <c r="BP28" s="56"/>
      <c r="BQ28" s="50">
        <f t="shared" ref="BQ28:BQ29" si="59">T28/M28</f>
        <v>1.0512820512820513</v>
      </c>
      <c r="BR28" s="51">
        <f t="shared" si="53"/>
        <v>0.64166666666666672</v>
      </c>
      <c r="BS28" s="51">
        <f t="shared" si="53"/>
        <v>0.13306451612903225</v>
      </c>
      <c r="BT28" s="211"/>
      <c r="BU28" s="52">
        <f t="shared" si="30"/>
        <v>0.19831223628691982</v>
      </c>
      <c r="BV28" s="410"/>
      <c r="BW28" s="57"/>
    </row>
    <row r="29" spans="1:75" x14ac:dyDescent="0.25">
      <c r="A29" s="12">
        <v>56</v>
      </c>
      <c r="B29" s="17" t="s">
        <v>293</v>
      </c>
      <c r="C29" s="2">
        <v>1</v>
      </c>
      <c r="D29" s="3">
        <v>1</v>
      </c>
      <c r="E29" s="3">
        <v>1</v>
      </c>
      <c r="F29" s="144">
        <v>2</v>
      </c>
      <c r="G29" s="4">
        <v>2</v>
      </c>
      <c r="H29" s="2">
        <v>2622</v>
      </c>
      <c r="I29" s="3">
        <v>2622</v>
      </c>
      <c r="J29" s="3">
        <v>2622</v>
      </c>
      <c r="K29" s="144">
        <v>2583</v>
      </c>
      <c r="L29" s="4">
        <v>2583</v>
      </c>
      <c r="M29" s="2">
        <v>426</v>
      </c>
      <c r="N29" s="3">
        <v>662</v>
      </c>
      <c r="O29" s="3">
        <v>830</v>
      </c>
      <c r="P29" s="144">
        <v>924</v>
      </c>
      <c r="Q29" s="4">
        <v>803</v>
      </c>
      <c r="R29" s="2">
        <v>95</v>
      </c>
      <c r="S29" s="3">
        <v>78</v>
      </c>
      <c r="T29" s="3">
        <v>118</v>
      </c>
      <c r="U29" s="3">
        <v>229</v>
      </c>
      <c r="V29" s="3">
        <v>142</v>
      </c>
      <c r="W29" s="144">
        <v>173</v>
      </c>
      <c r="X29" s="4">
        <v>117</v>
      </c>
      <c r="Y29" s="5">
        <v>25.2</v>
      </c>
      <c r="Z29" s="49">
        <v>30.25</v>
      </c>
      <c r="AA29" s="49">
        <v>33.5</v>
      </c>
      <c r="AB29" s="153">
        <v>40.85</v>
      </c>
      <c r="AC29" s="49">
        <v>37.9</v>
      </c>
      <c r="AD29" s="149"/>
      <c r="AE29" s="49"/>
      <c r="AF29" s="153">
        <v>37.9</v>
      </c>
      <c r="AG29" s="86">
        <v>37.9</v>
      </c>
      <c r="AH29" s="19">
        <v>413214</v>
      </c>
      <c r="AI29" s="20">
        <v>367685</v>
      </c>
      <c r="AJ29" s="20">
        <v>505693</v>
      </c>
      <c r="AK29" s="20">
        <v>674976</v>
      </c>
      <c r="AL29" s="20">
        <v>725829</v>
      </c>
      <c r="AM29" s="210">
        <v>742023</v>
      </c>
      <c r="AN29" s="21">
        <v>692361</v>
      </c>
      <c r="AO29" s="19">
        <v>232980</v>
      </c>
      <c r="AP29" s="20">
        <v>187916</v>
      </c>
      <c r="AQ29" s="20">
        <v>196543</v>
      </c>
      <c r="AR29" s="20">
        <v>255960</v>
      </c>
      <c r="AS29" s="20">
        <v>339273</v>
      </c>
      <c r="AT29" s="210">
        <v>324846</v>
      </c>
      <c r="AU29" s="21">
        <v>301073</v>
      </c>
      <c r="AV29" s="50">
        <f t="shared" si="56"/>
        <v>0.56382407178846794</v>
      </c>
      <c r="AW29" s="51">
        <f t="shared" si="56"/>
        <v>0.51107877667024759</v>
      </c>
      <c r="AX29" s="51">
        <f t="shared" si="56"/>
        <v>0.38866070916544226</v>
      </c>
      <c r="AY29" s="51">
        <f t="shared" si="56"/>
        <v>0.3792134831460674</v>
      </c>
      <c r="AZ29" s="51">
        <f t="shared" si="56"/>
        <v>0.46742827856147934</v>
      </c>
      <c r="BA29" s="211">
        <f t="shared" si="56"/>
        <v>0.43778427353330018</v>
      </c>
      <c r="BB29" s="52">
        <f t="shared" si="5"/>
        <v>0.43484973879233524</v>
      </c>
      <c r="BC29" s="50" t="s">
        <v>226</v>
      </c>
      <c r="BD29" s="53">
        <f t="shared" si="57"/>
        <v>-5.2745295118220348</v>
      </c>
      <c r="BE29" s="53">
        <f t="shared" si="57"/>
        <v>-17.516336262302566</v>
      </c>
      <c r="BF29" s="53">
        <f t="shared" si="57"/>
        <v>-18.461058864240055</v>
      </c>
      <c r="BG29" s="53">
        <f t="shared" si="57"/>
        <v>-9.6395793226988609</v>
      </c>
      <c r="BH29" s="212">
        <f t="shared" si="57"/>
        <v>-12.603979825516776</v>
      </c>
      <c r="BI29" s="54">
        <f t="shared" si="40"/>
        <v>-12.897433299613271</v>
      </c>
      <c r="BJ29" s="2" t="s">
        <v>226</v>
      </c>
      <c r="BK29" s="55">
        <f t="shared" si="58"/>
        <v>-5.2745295118220348</v>
      </c>
      <c r="BL29" s="55">
        <f t="shared" si="58"/>
        <v>-12.241806750480533</v>
      </c>
      <c r="BM29" s="55">
        <f t="shared" si="58"/>
        <v>-0.94472260193748658</v>
      </c>
      <c r="BN29" s="55">
        <f t="shared" si="58"/>
        <v>8.8214795415411942</v>
      </c>
      <c r="BO29" s="213">
        <f t="shared" si="58"/>
        <v>-2.9644005028179157</v>
      </c>
      <c r="BP29" s="56">
        <f t="shared" si="58"/>
        <v>-0.29345347409649447</v>
      </c>
      <c r="BQ29" s="50">
        <f t="shared" si="59"/>
        <v>0.27699530516431925</v>
      </c>
      <c r="BR29" s="51">
        <f t="shared" si="53"/>
        <v>0.34592145015105741</v>
      </c>
      <c r="BS29" s="51">
        <f t="shared" si="53"/>
        <v>0.1710843373493976</v>
      </c>
      <c r="BT29" s="211">
        <f t="shared" si="53"/>
        <v>0.18722943722943722</v>
      </c>
      <c r="BU29" s="52">
        <f t="shared" si="30"/>
        <v>0.14570361145703611</v>
      </c>
      <c r="BV29" s="410">
        <f t="shared" ref="BV29" si="60">(AG29-AF29)/AF29</f>
        <v>0</v>
      </c>
      <c r="BW29" s="57">
        <f t="shared" ref="BW29" si="61">(Q29-P29)/P29</f>
        <v>-0.13095238095238096</v>
      </c>
    </row>
    <row r="30" spans="1:75" x14ac:dyDescent="0.25">
      <c r="A30" s="12">
        <v>58</v>
      </c>
      <c r="B30" s="17" t="s">
        <v>217</v>
      </c>
      <c r="C30" s="2">
        <v>0</v>
      </c>
      <c r="D30" s="3">
        <v>0</v>
      </c>
      <c r="E30" s="3">
        <v>0</v>
      </c>
      <c r="F30" s="144">
        <v>0</v>
      </c>
      <c r="G30" s="4">
        <v>1</v>
      </c>
      <c r="H30" s="2">
        <v>2420</v>
      </c>
      <c r="I30" s="3">
        <v>2425</v>
      </c>
      <c r="J30" s="3">
        <v>2425</v>
      </c>
      <c r="K30" s="144">
        <v>2425</v>
      </c>
      <c r="L30" s="4">
        <v>2402</v>
      </c>
      <c r="M30" s="2">
        <v>772</v>
      </c>
      <c r="N30" s="3">
        <v>895</v>
      </c>
      <c r="O30" s="3">
        <v>1052</v>
      </c>
      <c r="P30" s="144">
        <v>1068</v>
      </c>
      <c r="Q30" s="4">
        <v>847</v>
      </c>
      <c r="R30" s="2">
        <v>28</v>
      </c>
      <c r="S30" s="3">
        <v>20</v>
      </c>
      <c r="T30" s="3">
        <v>16</v>
      </c>
      <c r="U30" s="3">
        <v>19</v>
      </c>
      <c r="V30" s="3">
        <v>11</v>
      </c>
      <c r="W30" s="144">
        <v>9</v>
      </c>
      <c r="X30" s="4">
        <v>24</v>
      </c>
      <c r="Y30" s="2">
        <v>32.22</v>
      </c>
      <c r="Z30" s="3">
        <v>24.91</v>
      </c>
      <c r="AA30" s="3">
        <v>34.75</v>
      </c>
      <c r="AB30" s="144">
        <v>34.75</v>
      </c>
      <c r="AC30" s="3">
        <v>34.75</v>
      </c>
      <c r="AD30" s="148"/>
      <c r="AE30" s="3"/>
      <c r="AF30" s="153">
        <v>36.25</v>
      </c>
      <c r="AG30" s="86">
        <v>36.25</v>
      </c>
      <c r="AH30" s="19">
        <v>436542</v>
      </c>
      <c r="AI30" s="20">
        <v>428958</v>
      </c>
      <c r="AJ30" s="20">
        <v>601718</v>
      </c>
      <c r="AK30" s="20">
        <v>719406</v>
      </c>
      <c r="AL30" s="20">
        <v>722733</v>
      </c>
      <c r="AM30" s="210">
        <v>709706</v>
      </c>
      <c r="AN30" s="21">
        <v>665527</v>
      </c>
      <c r="AO30" s="19">
        <v>97307</v>
      </c>
      <c r="AP30" s="20">
        <v>87201</v>
      </c>
      <c r="AQ30" s="20">
        <v>107185</v>
      </c>
      <c r="AR30" s="20">
        <v>186368</v>
      </c>
      <c r="AS30" s="20">
        <v>264782</v>
      </c>
      <c r="AT30" s="210">
        <v>265467</v>
      </c>
      <c r="AU30" s="21">
        <v>253618</v>
      </c>
      <c r="AV30" s="50">
        <f t="shared" ref="AV30:BA33" si="62">AO30/AH30</f>
        <v>0.22290409628397725</v>
      </c>
      <c r="AW30" s="51">
        <f t="shared" si="62"/>
        <v>0.20328563635600688</v>
      </c>
      <c r="AX30" s="51">
        <f t="shared" si="62"/>
        <v>0.17813161647150327</v>
      </c>
      <c r="AY30" s="51">
        <f t="shared" si="62"/>
        <v>0.25905816743257631</v>
      </c>
      <c r="AZ30" s="51">
        <f t="shared" si="62"/>
        <v>0.36636212819948721</v>
      </c>
      <c r="BA30" s="211">
        <f t="shared" si="62"/>
        <v>0.37405207226654419</v>
      </c>
      <c r="BB30" s="52">
        <f t="shared" si="5"/>
        <v>0.38107845361645731</v>
      </c>
      <c r="BC30" s="50" t="s">
        <v>226</v>
      </c>
      <c r="BD30" s="53">
        <f t="shared" ref="BD30:BG33" si="63">(AW30-$AV30)*100</f>
        <v>-1.9618459927970373</v>
      </c>
      <c r="BE30" s="53">
        <f t="shared" si="63"/>
        <v>-4.4772479812473982</v>
      </c>
      <c r="BF30" s="53">
        <f t="shared" si="63"/>
        <v>3.6154071148599058</v>
      </c>
      <c r="BG30" s="53">
        <f t="shared" si="63"/>
        <v>14.345803191550996</v>
      </c>
      <c r="BH30" s="212">
        <f t="shared" si="52"/>
        <v>15.114797598256693</v>
      </c>
      <c r="BI30" s="54">
        <f t="shared" si="40"/>
        <v>15.817435733248006</v>
      </c>
      <c r="BJ30" s="2" t="s">
        <v>226</v>
      </c>
      <c r="BK30" s="55">
        <f t="shared" ref="BK30:BN33" si="64">(AW30-AV30)*100</f>
        <v>-1.9618459927970373</v>
      </c>
      <c r="BL30" s="55">
        <f t="shared" si="64"/>
        <v>-2.5154019884503609</v>
      </c>
      <c r="BM30" s="55">
        <f t="shared" si="64"/>
        <v>8.092655096107304</v>
      </c>
      <c r="BN30" s="55">
        <f t="shared" si="64"/>
        <v>10.73039607669109</v>
      </c>
      <c r="BO30" s="213">
        <f t="shared" si="50"/>
        <v>0.76899440670569752</v>
      </c>
      <c r="BP30" s="56">
        <f t="shared" si="38"/>
        <v>0.70263813499131245</v>
      </c>
      <c r="BQ30" s="50">
        <f t="shared" ref="BQ30:BQ32" si="65">T30/M30</f>
        <v>2.072538860103627E-2</v>
      </c>
      <c r="BR30" s="51">
        <f t="shared" si="53"/>
        <v>2.1229050279329607E-2</v>
      </c>
      <c r="BS30" s="51">
        <f t="shared" si="53"/>
        <v>1.0456273764258554E-2</v>
      </c>
      <c r="BT30" s="211">
        <f t="shared" si="51"/>
        <v>8.4269662921348312E-3</v>
      </c>
      <c r="BU30" s="52">
        <f t="shared" si="30"/>
        <v>2.833530106257379E-2</v>
      </c>
      <c r="BV30" s="410">
        <f t="shared" si="39"/>
        <v>0</v>
      </c>
      <c r="BW30" s="57">
        <f t="shared" si="16"/>
        <v>-0.20692883895131087</v>
      </c>
    </row>
    <row r="31" spans="1:75" x14ac:dyDescent="0.25">
      <c r="A31" s="12">
        <v>59</v>
      </c>
      <c r="B31" s="17" t="s">
        <v>208</v>
      </c>
      <c r="C31" s="2">
        <v>2</v>
      </c>
      <c r="D31" s="3">
        <v>2</v>
      </c>
      <c r="E31" s="3">
        <v>2</v>
      </c>
      <c r="F31" s="144">
        <v>3</v>
      </c>
      <c r="G31" s="4">
        <v>2</v>
      </c>
      <c r="H31" s="2">
        <v>2146</v>
      </c>
      <c r="I31" s="3">
        <v>2155</v>
      </c>
      <c r="J31" s="3">
        <v>2155</v>
      </c>
      <c r="K31" s="144">
        <v>2156</v>
      </c>
      <c r="L31" s="4">
        <v>2078</v>
      </c>
      <c r="M31" s="2">
        <v>376</v>
      </c>
      <c r="N31" s="3">
        <v>431</v>
      </c>
      <c r="O31" s="3">
        <v>510</v>
      </c>
      <c r="P31" s="144">
        <v>425</v>
      </c>
      <c r="Q31" s="4">
        <v>421</v>
      </c>
      <c r="R31" s="2">
        <v>25</v>
      </c>
      <c r="S31" s="3">
        <v>16</v>
      </c>
      <c r="T31" s="3">
        <v>18</v>
      </c>
      <c r="U31" s="3">
        <v>28</v>
      </c>
      <c r="V31" s="3">
        <v>77</v>
      </c>
      <c r="W31" s="144">
        <v>72</v>
      </c>
      <c r="X31" s="4">
        <v>33</v>
      </c>
      <c r="Y31" s="2">
        <v>24.34</v>
      </c>
      <c r="Z31" s="3">
        <v>28.32</v>
      </c>
      <c r="AA31" s="3">
        <v>35.619999999999997</v>
      </c>
      <c r="AB31" s="144">
        <v>35.619999999999997</v>
      </c>
      <c r="AC31" s="3">
        <v>35.619999999999997</v>
      </c>
      <c r="AD31" s="148"/>
      <c r="AE31" s="3"/>
      <c r="AF31" s="144">
        <v>35.619999999999997</v>
      </c>
      <c r="AG31" s="144">
        <v>35.619999999999997</v>
      </c>
      <c r="AH31" s="19">
        <v>468215</v>
      </c>
      <c r="AI31" s="20">
        <v>472389</v>
      </c>
      <c r="AJ31" s="20">
        <v>572653</v>
      </c>
      <c r="AK31" s="20">
        <v>740269</v>
      </c>
      <c r="AL31" s="20">
        <v>773798</v>
      </c>
      <c r="AM31" s="210">
        <v>766724</v>
      </c>
      <c r="AN31" s="21">
        <v>710557.91</v>
      </c>
      <c r="AO31" s="19">
        <v>44348</v>
      </c>
      <c r="AP31" s="20">
        <v>51515</v>
      </c>
      <c r="AQ31" s="20">
        <v>78022</v>
      </c>
      <c r="AR31" s="20">
        <v>142106</v>
      </c>
      <c r="AS31" s="20">
        <v>179639</v>
      </c>
      <c r="AT31" s="210">
        <v>200808</v>
      </c>
      <c r="AU31" s="21">
        <v>175352.78</v>
      </c>
      <c r="AV31" s="50">
        <f t="shared" si="62"/>
        <v>9.4717170530632291E-2</v>
      </c>
      <c r="AW31" s="51">
        <f t="shared" si="62"/>
        <v>0.10905207360882663</v>
      </c>
      <c r="AX31" s="51">
        <f t="shared" si="62"/>
        <v>0.13624655768851293</v>
      </c>
      <c r="AY31" s="51">
        <f t="shared" si="62"/>
        <v>0.19196535313514412</v>
      </c>
      <c r="AZ31" s="51">
        <f t="shared" si="62"/>
        <v>0.23215231882222492</v>
      </c>
      <c r="BA31" s="211">
        <f t="shared" si="62"/>
        <v>0.26190389240456802</v>
      </c>
      <c r="BB31" s="52">
        <f t="shared" si="5"/>
        <v>0.24678182809899335</v>
      </c>
      <c r="BC31" s="50" t="s">
        <v>226</v>
      </c>
      <c r="BD31" s="53">
        <f t="shared" si="63"/>
        <v>1.4334903078194337</v>
      </c>
      <c r="BE31" s="53">
        <f t="shared" si="63"/>
        <v>4.1529387157880642</v>
      </c>
      <c r="BF31" s="53">
        <f t="shared" si="63"/>
        <v>9.7248182604511832</v>
      </c>
      <c r="BG31" s="53">
        <f t="shared" si="63"/>
        <v>13.743514829159265</v>
      </c>
      <c r="BH31" s="212">
        <f t="shared" si="52"/>
        <v>16.718672187393572</v>
      </c>
      <c r="BI31" s="54">
        <f t="shared" si="40"/>
        <v>15.206465756836106</v>
      </c>
      <c r="BJ31" s="2" t="s">
        <v>226</v>
      </c>
      <c r="BK31" s="55">
        <f t="shared" si="64"/>
        <v>1.4334903078194337</v>
      </c>
      <c r="BL31" s="55">
        <f t="shared" si="64"/>
        <v>2.7194484079686303</v>
      </c>
      <c r="BM31" s="55">
        <f t="shared" si="64"/>
        <v>5.5718795446631191</v>
      </c>
      <c r="BN31" s="55">
        <f t="shared" si="64"/>
        <v>4.01869656870808</v>
      </c>
      <c r="BO31" s="213">
        <f t="shared" si="50"/>
        <v>2.9751573582343092</v>
      </c>
      <c r="BP31" s="56">
        <f t="shared" si="38"/>
        <v>-1.5122064305574667</v>
      </c>
      <c r="BQ31" s="50">
        <f t="shared" si="65"/>
        <v>4.7872340425531915E-2</v>
      </c>
      <c r="BR31" s="51">
        <f t="shared" si="53"/>
        <v>6.4965197215777259E-2</v>
      </c>
      <c r="BS31" s="51">
        <f t="shared" si="53"/>
        <v>0.15098039215686274</v>
      </c>
      <c r="BT31" s="211">
        <f t="shared" si="51"/>
        <v>0.16941176470588235</v>
      </c>
      <c r="BU31" s="52">
        <f t="shared" si="30"/>
        <v>7.8384798099762468E-2</v>
      </c>
      <c r="BV31" s="410">
        <f t="shared" si="39"/>
        <v>0</v>
      </c>
      <c r="BW31" s="57">
        <f t="shared" si="16"/>
        <v>-9.4117647058823521E-3</v>
      </c>
    </row>
    <row r="32" spans="1:75" x14ac:dyDescent="0.25">
      <c r="A32" s="12">
        <v>59</v>
      </c>
      <c r="B32" s="17" t="s">
        <v>168</v>
      </c>
      <c r="C32" s="2">
        <v>27</v>
      </c>
      <c r="D32" s="3">
        <v>27</v>
      </c>
      <c r="E32" s="3">
        <v>27</v>
      </c>
      <c r="F32" s="144">
        <v>0</v>
      </c>
      <c r="G32" s="4">
        <v>30</v>
      </c>
      <c r="H32" s="2">
        <v>0</v>
      </c>
      <c r="I32" s="3">
        <v>0</v>
      </c>
      <c r="J32" s="3">
        <v>0</v>
      </c>
      <c r="K32" s="144">
        <v>346</v>
      </c>
      <c r="L32" s="4">
        <v>368</v>
      </c>
      <c r="M32" s="2">
        <v>61</v>
      </c>
      <c r="N32" s="3">
        <v>97</v>
      </c>
      <c r="O32" s="3">
        <v>63</v>
      </c>
      <c r="P32" s="144">
        <v>141</v>
      </c>
      <c r="Q32" s="4">
        <v>77</v>
      </c>
      <c r="R32" s="2">
        <v>0</v>
      </c>
      <c r="S32" s="3">
        <v>0</v>
      </c>
      <c r="T32" s="3">
        <v>3</v>
      </c>
      <c r="U32" s="3">
        <v>12</v>
      </c>
      <c r="V32" s="3">
        <v>22</v>
      </c>
      <c r="W32" s="144">
        <v>0</v>
      </c>
      <c r="X32" s="4">
        <v>8</v>
      </c>
      <c r="Y32" s="2"/>
      <c r="Z32" s="3"/>
      <c r="AA32" s="3"/>
      <c r="AB32" s="144"/>
      <c r="AC32" s="3"/>
      <c r="AD32" s="148"/>
      <c r="AE32" s="3"/>
      <c r="AF32" s="153">
        <v>23.31</v>
      </c>
      <c r="AG32" s="86">
        <v>23.31</v>
      </c>
      <c r="AH32" s="19"/>
      <c r="AI32" s="20"/>
      <c r="AJ32" s="20"/>
      <c r="AK32" s="20"/>
      <c r="AL32" s="20"/>
      <c r="AM32" s="210">
        <v>137485</v>
      </c>
      <c r="AN32" s="21">
        <v>102280</v>
      </c>
      <c r="AO32" s="19"/>
      <c r="AP32" s="20"/>
      <c r="AQ32" s="20"/>
      <c r="AR32" s="20"/>
      <c r="AS32" s="20"/>
      <c r="AT32" s="210">
        <v>29802</v>
      </c>
      <c r="AU32" s="21">
        <v>19560</v>
      </c>
      <c r="AV32" s="50"/>
      <c r="AW32" s="51"/>
      <c r="AX32" s="51"/>
      <c r="AY32" s="51"/>
      <c r="AZ32" s="51"/>
      <c r="BA32" s="211">
        <f t="shared" si="62"/>
        <v>0.21676546532348984</v>
      </c>
      <c r="BB32" s="52">
        <f t="shared" si="5"/>
        <v>0.19123973406335548</v>
      </c>
      <c r="BC32" s="50" t="s">
        <v>226</v>
      </c>
      <c r="BD32" s="53"/>
      <c r="BE32" s="53"/>
      <c r="BF32" s="53"/>
      <c r="BG32" s="53"/>
      <c r="BH32" s="212"/>
      <c r="BI32" s="54"/>
      <c r="BJ32" s="2" t="s">
        <v>226</v>
      </c>
      <c r="BK32" s="55"/>
      <c r="BL32" s="55"/>
      <c r="BM32" s="55"/>
      <c r="BN32" s="55"/>
      <c r="BO32" s="213"/>
      <c r="BP32" s="56">
        <f t="shared" si="38"/>
        <v>-2.5525731260134354</v>
      </c>
      <c r="BQ32" s="50">
        <f t="shared" si="65"/>
        <v>4.9180327868852458E-2</v>
      </c>
      <c r="BR32" s="51">
        <f t="shared" si="53"/>
        <v>0.12371134020618557</v>
      </c>
      <c r="BS32" s="51">
        <f t="shared" si="53"/>
        <v>0.34920634920634919</v>
      </c>
      <c r="BT32" s="211">
        <f t="shared" si="51"/>
        <v>0</v>
      </c>
      <c r="BU32" s="52">
        <f t="shared" si="30"/>
        <v>0.1038961038961039</v>
      </c>
      <c r="BV32" s="410">
        <f t="shared" si="39"/>
        <v>0</v>
      </c>
      <c r="BW32" s="57">
        <f t="shared" si="16"/>
        <v>-0.45390070921985815</v>
      </c>
    </row>
    <row r="33" spans="1:75" s="16" customFormat="1" x14ac:dyDescent="0.25">
      <c r="A33" s="12">
        <v>60</v>
      </c>
      <c r="B33" s="17" t="s">
        <v>31</v>
      </c>
      <c r="C33" s="2">
        <v>0</v>
      </c>
      <c r="D33" s="148">
        <v>0</v>
      </c>
      <c r="E33" s="3">
        <v>0</v>
      </c>
      <c r="F33" s="3">
        <v>0</v>
      </c>
      <c r="G33" s="144"/>
      <c r="H33" s="2">
        <v>580</v>
      </c>
      <c r="I33" s="3">
        <v>580</v>
      </c>
      <c r="J33" s="3">
        <v>580</v>
      </c>
      <c r="K33" s="3">
        <v>512</v>
      </c>
      <c r="L33" s="4"/>
      <c r="M33" s="2"/>
      <c r="N33" s="3"/>
      <c r="O33" s="3"/>
      <c r="P33" s="144">
        <v>307</v>
      </c>
      <c r="Q33" s="4"/>
      <c r="R33" s="2">
        <v>10</v>
      </c>
      <c r="S33" s="3">
        <v>10</v>
      </c>
      <c r="T33" s="3">
        <v>15</v>
      </c>
      <c r="U33" s="3">
        <v>15</v>
      </c>
      <c r="V33" s="3">
        <v>15</v>
      </c>
      <c r="W33" s="144">
        <v>22</v>
      </c>
      <c r="X33" s="4"/>
      <c r="Y33" s="5">
        <v>21.6</v>
      </c>
      <c r="Z33" s="3">
        <v>26.56</v>
      </c>
      <c r="AA33" s="3">
        <v>32.19</v>
      </c>
      <c r="AB33" s="144">
        <v>30.58</v>
      </c>
      <c r="AC33" s="3">
        <v>30.58</v>
      </c>
      <c r="AD33" s="148"/>
      <c r="AE33" s="3"/>
      <c r="AF33" s="3">
        <v>30.58</v>
      </c>
      <c r="AG33" s="4"/>
      <c r="AH33" s="19">
        <v>103020</v>
      </c>
      <c r="AI33" s="20">
        <v>103919</v>
      </c>
      <c r="AJ33" s="20">
        <v>138708</v>
      </c>
      <c r="AK33" s="20">
        <v>172261</v>
      </c>
      <c r="AL33" s="20">
        <v>174787</v>
      </c>
      <c r="AM33" s="210">
        <v>178384</v>
      </c>
      <c r="AN33" s="21"/>
      <c r="AO33" s="19">
        <v>2483</v>
      </c>
      <c r="AP33" s="20">
        <v>5486</v>
      </c>
      <c r="AQ33" s="20">
        <v>9690</v>
      </c>
      <c r="AR33" s="20">
        <v>20233</v>
      </c>
      <c r="AS33" s="20">
        <v>20875</v>
      </c>
      <c r="AT33" s="210">
        <v>23197</v>
      </c>
      <c r="AU33" s="210"/>
      <c r="AV33" s="50">
        <f t="shared" si="62"/>
        <v>2.4102116093962338E-2</v>
      </c>
      <c r="AW33" s="51">
        <f t="shared" si="62"/>
        <v>5.2791116157776728E-2</v>
      </c>
      <c r="AX33" s="51">
        <f t="shared" si="62"/>
        <v>6.9858984341205993E-2</v>
      </c>
      <c r="AY33" s="51">
        <f t="shared" si="62"/>
        <v>0.11745548905440001</v>
      </c>
      <c r="AZ33" s="51">
        <f>AS33/AL33</f>
        <v>0.11943107897040398</v>
      </c>
      <c r="BA33" s="51">
        <v>0.13</v>
      </c>
      <c r="BB33" s="211"/>
      <c r="BC33" s="50" t="s">
        <v>226</v>
      </c>
      <c r="BD33" s="53">
        <f t="shared" si="63"/>
        <v>2.8689000063814389</v>
      </c>
      <c r="BE33" s="53">
        <f t="shared" si="63"/>
        <v>4.5756868247243654</v>
      </c>
      <c r="BF33" s="53">
        <f t="shared" si="63"/>
        <v>9.3353372960437664</v>
      </c>
      <c r="BG33" s="53">
        <f t="shared" si="63"/>
        <v>9.5328962876441636</v>
      </c>
      <c r="BH33" s="53">
        <f t="shared" si="52"/>
        <v>10.589788390603767</v>
      </c>
      <c r="BI33" s="212"/>
      <c r="BJ33" s="2" t="s">
        <v>226</v>
      </c>
      <c r="BK33" s="55">
        <f t="shared" si="64"/>
        <v>2.8689000063814389</v>
      </c>
      <c r="BL33" s="55">
        <f t="shared" si="64"/>
        <v>1.7067868183429264</v>
      </c>
      <c r="BM33" s="55">
        <f t="shared" si="64"/>
        <v>4.7596504713194019</v>
      </c>
      <c r="BN33" s="55">
        <f t="shared" si="64"/>
        <v>0.19755899160039669</v>
      </c>
      <c r="BO33" s="55">
        <f t="shared" si="50"/>
        <v>1.056892102959603</v>
      </c>
      <c r="BP33" s="213"/>
      <c r="BQ33" s="50"/>
      <c r="BR33" s="51"/>
      <c r="BS33" s="51"/>
      <c r="BT33" s="51">
        <f t="shared" si="51"/>
        <v>7.1661237785016291E-2</v>
      </c>
      <c r="BU33" s="211"/>
      <c r="BV33" s="409"/>
      <c r="BW33" s="57"/>
    </row>
    <row r="34" spans="1:75" s="16" customFormat="1" x14ac:dyDescent="0.25">
      <c r="A34" s="12">
        <v>61</v>
      </c>
      <c r="B34" s="17" t="s">
        <v>32</v>
      </c>
      <c r="C34" s="2"/>
      <c r="D34" s="3"/>
      <c r="E34" s="3"/>
      <c r="F34" s="144">
        <v>26</v>
      </c>
      <c r="G34" s="4">
        <v>4</v>
      </c>
      <c r="H34" s="2"/>
      <c r="I34" s="3"/>
      <c r="J34" s="3"/>
      <c r="K34" s="144">
        <v>889</v>
      </c>
      <c r="L34" s="4">
        <v>960</v>
      </c>
      <c r="M34" s="2"/>
      <c r="N34" s="3"/>
      <c r="O34" s="3"/>
      <c r="P34" s="144">
        <v>135</v>
      </c>
      <c r="Q34" s="4">
        <v>52</v>
      </c>
      <c r="R34" s="2"/>
      <c r="S34" s="3"/>
      <c r="T34" s="3"/>
      <c r="U34" s="3"/>
      <c r="V34" s="3"/>
      <c r="W34" s="144">
        <v>6</v>
      </c>
      <c r="X34" s="4">
        <v>7</v>
      </c>
      <c r="Y34" s="5"/>
      <c r="Z34" s="3"/>
      <c r="AA34" s="3"/>
      <c r="AB34" s="144"/>
      <c r="AC34" s="3"/>
      <c r="AD34" s="148"/>
      <c r="AE34" s="3"/>
      <c r="AF34" s="144">
        <v>39.47</v>
      </c>
      <c r="AG34" s="4">
        <v>44.62</v>
      </c>
      <c r="AH34" s="19"/>
      <c r="AI34" s="20"/>
      <c r="AJ34" s="20"/>
      <c r="AK34" s="20"/>
      <c r="AL34" s="20"/>
      <c r="AM34" s="210">
        <v>303522</v>
      </c>
      <c r="AN34" s="21">
        <v>322691</v>
      </c>
      <c r="AO34" s="19"/>
      <c r="AP34" s="20"/>
      <c r="AQ34" s="20"/>
      <c r="AR34" s="20"/>
      <c r="AS34" s="20"/>
      <c r="AT34" s="210">
        <v>20803</v>
      </c>
      <c r="AU34" s="21">
        <v>18668</v>
      </c>
      <c r="AV34" s="50"/>
      <c r="AW34" s="51"/>
      <c r="AX34" s="51"/>
      <c r="AY34" s="51"/>
      <c r="AZ34" s="51"/>
      <c r="BA34" s="211">
        <f t="shared" ref="BA34:BA35" si="66">AT34/AM34</f>
        <v>6.8538689123028976E-2</v>
      </c>
      <c r="BB34" s="52">
        <f t="shared" si="5"/>
        <v>5.7851009169763025E-2</v>
      </c>
      <c r="BC34" s="50"/>
      <c r="BD34" s="53"/>
      <c r="BE34" s="53"/>
      <c r="BF34" s="53"/>
      <c r="BG34" s="53"/>
      <c r="BH34" s="212"/>
      <c r="BI34" s="54"/>
      <c r="BJ34" s="2"/>
      <c r="BK34" s="55"/>
      <c r="BL34" s="55"/>
      <c r="BM34" s="55"/>
      <c r="BN34" s="55"/>
      <c r="BO34" s="213"/>
      <c r="BP34" s="56">
        <f t="shared" si="38"/>
        <v>-1.0687679953265952</v>
      </c>
      <c r="BQ34" s="50"/>
      <c r="BR34" s="51"/>
      <c r="BS34" s="51"/>
      <c r="BT34" s="211">
        <f t="shared" si="51"/>
        <v>4.4444444444444446E-2</v>
      </c>
      <c r="BU34" s="52">
        <f t="shared" si="30"/>
        <v>0.13461538461538461</v>
      </c>
      <c r="BV34" s="410">
        <f t="shared" si="39"/>
        <v>0.13047884469217125</v>
      </c>
      <c r="BW34" s="57">
        <f t="shared" si="16"/>
        <v>-0.61481481481481481</v>
      </c>
    </row>
    <row r="35" spans="1:75" x14ac:dyDescent="0.25">
      <c r="A35" s="12">
        <v>61</v>
      </c>
      <c r="B35" s="17" t="s">
        <v>347</v>
      </c>
      <c r="C35" s="2"/>
      <c r="D35" s="3"/>
      <c r="E35" s="3"/>
      <c r="F35" s="144">
        <v>1</v>
      </c>
      <c r="G35" s="4">
        <v>1</v>
      </c>
      <c r="H35" s="2"/>
      <c r="I35" s="3"/>
      <c r="J35" s="3"/>
      <c r="K35" s="144">
        <v>519</v>
      </c>
      <c r="L35" s="4">
        <v>519</v>
      </c>
      <c r="M35" s="2"/>
      <c r="N35" s="3"/>
      <c r="O35" s="3"/>
      <c r="P35" s="144">
        <v>87</v>
      </c>
      <c r="Q35" s="4">
        <v>80</v>
      </c>
      <c r="R35" s="2"/>
      <c r="S35" s="3"/>
      <c r="T35" s="3"/>
      <c r="U35" s="3"/>
      <c r="V35" s="3"/>
      <c r="W35" s="144">
        <v>10</v>
      </c>
      <c r="X35" s="4">
        <v>11</v>
      </c>
      <c r="Y35" s="2"/>
      <c r="Z35" s="3"/>
      <c r="AA35" s="3"/>
      <c r="AB35" s="144"/>
      <c r="AC35" s="3"/>
      <c r="AD35" s="148"/>
      <c r="AE35" s="3"/>
      <c r="AF35" s="153">
        <v>42.98</v>
      </c>
      <c r="AG35" s="86">
        <v>44.87</v>
      </c>
      <c r="AH35" s="19"/>
      <c r="AI35" s="20"/>
      <c r="AJ35" s="20"/>
      <c r="AK35" s="20"/>
      <c r="AL35" s="20"/>
      <c r="AM35" s="210">
        <v>203872</v>
      </c>
      <c r="AN35" s="21">
        <v>277086</v>
      </c>
      <c r="AO35" s="19"/>
      <c r="AP35" s="20"/>
      <c r="AQ35" s="20"/>
      <c r="AR35" s="20"/>
      <c r="AS35" s="20"/>
      <c r="AT35" s="210">
        <v>44453</v>
      </c>
      <c r="AU35" s="21">
        <v>73982</v>
      </c>
      <c r="AV35" s="50"/>
      <c r="AW35" s="51"/>
      <c r="AX35" s="51"/>
      <c r="AY35" s="51"/>
      <c r="AZ35" s="51"/>
      <c r="BA35" s="211">
        <f t="shared" si="66"/>
        <v>0.21804367446240777</v>
      </c>
      <c r="BB35" s="52">
        <f t="shared" si="5"/>
        <v>0.26700013714153731</v>
      </c>
      <c r="BC35" s="50" t="s">
        <v>226</v>
      </c>
      <c r="BD35" s="53"/>
      <c r="BE35" s="53"/>
      <c r="BF35" s="53"/>
      <c r="BG35" s="53"/>
      <c r="BH35" s="212"/>
      <c r="BI35" s="54"/>
      <c r="BJ35" s="2" t="s">
        <v>226</v>
      </c>
      <c r="BK35" s="55"/>
      <c r="BL35" s="55"/>
      <c r="BM35" s="55"/>
      <c r="BN35" s="55"/>
      <c r="BO35" s="213"/>
      <c r="BP35" s="56">
        <f t="shared" si="38"/>
        <v>4.8956462679129533</v>
      </c>
      <c r="BQ35" s="50"/>
      <c r="BR35" s="51"/>
      <c r="BS35" s="51"/>
      <c r="BT35" s="211">
        <f t="shared" si="51"/>
        <v>0.11494252873563218</v>
      </c>
      <c r="BU35" s="52">
        <f t="shared" si="30"/>
        <v>0.13750000000000001</v>
      </c>
      <c r="BV35" s="410">
        <f t="shared" si="39"/>
        <v>4.3973941368078195E-2</v>
      </c>
      <c r="BW35" s="57">
        <f t="shared" si="16"/>
        <v>-8.0459770114942528E-2</v>
      </c>
    </row>
    <row r="36" spans="1:75" x14ac:dyDescent="0.25">
      <c r="A36" s="12">
        <v>66</v>
      </c>
      <c r="B36" s="17" t="s">
        <v>211</v>
      </c>
      <c r="C36" s="2">
        <v>156</v>
      </c>
      <c r="D36" s="3">
        <v>156</v>
      </c>
      <c r="E36" s="3">
        <v>155</v>
      </c>
      <c r="F36" s="144">
        <v>8</v>
      </c>
      <c r="G36" s="4">
        <v>10</v>
      </c>
      <c r="H36" s="2">
        <v>7234</v>
      </c>
      <c r="I36" s="3">
        <v>7233</v>
      </c>
      <c r="J36" s="3">
        <v>7231</v>
      </c>
      <c r="K36" s="144">
        <v>7122</v>
      </c>
      <c r="L36" s="4">
        <v>7270</v>
      </c>
      <c r="M36" s="2">
        <v>2615</v>
      </c>
      <c r="N36" s="3">
        <v>3949</v>
      </c>
      <c r="O36" s="3">
        <v>4875</v>
      </c>
      <c r="P36" s="144">
        <v>2400</v>
      </c>
      <c r="Q36" s="4">
        <v>2314</v>
      </c>
      <c r="R36" s="2">
        <v>171</v>
      </c>
      <c r="S36" s="3">
        <v>131</v>
      </c>
      <c r="T36" s="3">
        <v>126</v>
      </c>
      <c r="U36" s="3">
        <v>176</v>
      </c>
      <c r="V36" s="3">
        <v>150</v>
      </c>
      <c r="W36" s="144">
        <v>210</v>
      </c>
      <c r="X36" s="4">
        <v>221</v>
      </c>
      <c r="Y36" s="2" t="s">
        <v>212</v>
      </c>
      <c r="Z36" s="3" t="s">
        <v>213</v>
      </c>
      <c r="AA36" s="3" t="s">
        <v>214</v>
      </c>
      <c r="AB36" s="144" t="s">
        <v>215</v>
      </c>
      <c r="AC36" s="3" t="s">
        <v>216</v>
      </c>
      <c r="AD36" s="148"/>
      <c r="AE36" s="3"/>
      <c r="AF36" s="153">
        <v>33.89</v>
      </c>
      <c r="AG36" s="153">
        <v>33.89</v>
      </c>
      <c r="AH36" s="19"/>
      <c r="AI36" s="20">
        <v>1978339</v>
      </c>
      <c r="AJ36" s="20">
        <v>2665919</v>
      </c>
      <c r="AK36" s="20">
        <v>3688872</v>
      </c>
      <c r="AL36" s="20">
        <v>2757041</v>
      </c>
      <c r="AM36" s="210">
        <v>3088465</v>
      </c>
      <c r="AN36" s="21">
        <v>2595935</v>
      </c>
      <c r="AO36" s="19"/>
      <c r="AP36" s="20">
        <v>61840</v>
      </c>
      <c r="AQ36" s="20">
        <v>101500</v>
      </c>
      <c r="AR36" s="20">
        <v>275970</v>
      </c>
      <c r="AS36" s="20">
        <v>343724</v>
      </c>
      <c r="AT36" s="210">
        <v>494575</v>
      </c>
      <c r="AU36" s="21">
        <v>488371</v>
      </c>
      <c r="AV36" s="50"/>
      <c r="AW36" s="51">
        <f t="shared" ref="AW36:BA37" si="67">AP36/AI36</f>
        <v>3.1258545678976152E-2</v>
      </c>
      <c r="AX36" s="51">
        <f t="shared" si="67"/>
        <v>3.8073174766375124E-2</v>
      </c>
      <c r="AY36" s="51">
        <f t="shared" si="67"/>
        <v>7.481148708873607E-2</v>
      </c>
      <c r="AZ36" s="51">
        <f t="shared" si="67"/>
        <v>0.1246713414853098</v>
      </c>
      <c r="BA36" s="211">
        <f t="shared" si="67"/>
        <v>0.16013618415620703</v>
      </c>
      <c r="BB36" s="52">
        <f t="shared" si="5"/>
        <v>0.18812913266318301</v>
      </c>
      <c r="BC36" s="50" t="s">
        <v>226</v>
      </c>
      <c r="BD36" s="53"/>
      <c r="BE36" s="53"/>
      <c r="BF36" s="53"/>
      <c r="BG36" s="53"/>
      <c r="BH36" s="212"/>
      <c r="BI36" s="54"/>
      <c r="BJ36" s="2" t="s">
        <v>226</v>
      </c>
      <c r="BK36" s="55"/>
      <c r="BL36" s="55">
        <f t="shared" ref="BL36:BO37" si="68">(AX36-AW36)*100</f>
        <v>0.68146290873989723</v>
      </c>
      <c r="BM36" s="55">
        <f t="shared" si="68"/>
        <v>3.6738312322360946</v>
      </c>
      <c r="BN36" s="55">
        <f t="shared" si="68"/>
        <v>4.9859854396573731</v>
      </c>
      <c r="BO36" s="213">
        <f t="shared" si="68"/>
        <v>3.5464842670897236</v>
      </c>
      <c r="BP36" s="56">
        <f t="shared" si="38"/>
        <v>2.7992948506975979</v>
      </c>
      <c r="BQ36" s="50">
        <f t="shared" ref="BQ36:BS37" si="69">T36/M36</f>
        <v>4.8183556405353725E-2</v>
      </c>
      <c r="BR36" s="51">
        <f t="shared" si="69"/>
        <v>4.456824512534819E-2</v>
      </c>
      <c r="BS36" s="51">
        <f t="shared" si="69"/>
        <v>3.0769230769230771E-2</v>
      </c>
      <c r="BT36" s="211">
        <f t="shared" si="51"/>
        <v>8.7499999999999994E-2</v>
      </c>
      <c r="BU36" s="52">
        <f t="shared" si="30"/>
        <v>9.5505617977528087E-2</v>
      </c>
      <c r="BV36" s="410">
        <f t="shared" si="39"/>
        <v>0</v>
      </c>
      <c r="BW36" s="57">
        <f t="shared" si="16"/>
        <v>-3.5833333333333335E-2</v>
      </c>
    </row>
    <row r="37" spans="1:75" x14ac:dyDescent="0.25">
      <c r="A37" s="12">
        <v>67</v>
      </c>
      <c r="B37" s="17" t="s">
        <v>294</v>
      </c>
      <c r="C37" s="2">
        <v>4</v>
      </c>
      <c r="D37" s="3">
        <v>3</v>
      </c>
      <c r="E37" s="3">
        <v>3</v>
      </c>
      <c r="F37" s="144">
        <v>3</v>
      </c>
      <c r="G37" s="4">
        <v>3</v>
      </c>
      <c r="H37" s="2">
        <v>5178</v>
      </c>
      <c r="I37" s="3">
        <v>5250</v>
      </c>
      <c r="J37" s="3">
        <v>5250</v>
      </c>
      <c r="K37" s="144">
        <v>5198</v>
      </c>
      <c r="L37" s="4">
        <v>5198</v>
      </c>
      <c r="M37" s="2">
        <v>116</v>
      </c>
      <c r="N37" s="3">
        <v>596</v>
      </c>
      <c r="O37" s="3">
        <v>483</v>
      </c>
      <c r="P37" s="144">
        <v>1815</v>
      </c>
      <c r="Q37" s="4">
        <v>1820</v>
      </c>
      <c r="R37" s="2">
        <v>76</v>
      </c>
      <c r="S37" s="3">
        <v>63</v>
      </c>
      <c r="T37" s="3">
        <v>94</v>
      </c>
      <c r="U37" s="3">
        <v>136</v>
      </c>
      <c r="V37" s="3">
        <v>79</v>
      </c>
      <c r="W37" s="144">
        <v>68</v>
      </c>
      <c r="X37" s="4">
        <v>74</v>
      </c>
      <c r="Y37" s="2">
        <v>33.99</v>
      </c>
      <c r="Z37" s="3">
        <f>(33.99+37.12)/2</f>
        <v>35.555</v>
      </c>
      <c r="AA37" s="3">
        <f>(32.73+33.35+33.99+38.38+46.04)/5</f>
        <v>36.897999999999996</v>
      </c>
      <c r="AB37" s="144">
        <f>(53.66+47.75+39.61+38.93+38.25)/5</f>
        <v>43.64</v>
      </c>
      <c r="AC37" s="3">
        <f>(36.87+42.36+43.72+47.84+45.79)/5</f>
        <v>43.315999999999995</v>
      </c>
      <c r="AD37" s="148"/>
      <c r="AE37" s="3"/>
      <c r="AF37" s="153">
        <v>45.03</v>
      </c>
      <c r="AG37" s="86">
        <v>47.33</v>
      </c>
      <c r="AH37" s="19">
        <v>1025195</v>
      </c>
      <c r="AI37" s="20">
        <v>993122</v>
      </c>
      <c r="AJ37" s="20">
        <v>1295484</v>
      </c>
      <c r="AK37" s="20">
        <v>1797833</v>
      </c>
      <c r="AL37" s="20">
        <v>1753332</v>
      </c>
      <c r="AM37" s="210">
        <v>2020402</v>
      </c>
      <c r="AN37" s="21">
        <v>2098728</v>
      </c>
      <c r="AO37" s="19">
        <v>34803</v>
      </c>
      <c r="AP37" s="20">
        <v>26632</v>
      </c>
      <c r="AQ37" s="20">
        <v>15862</v>
      </c>
      <c r="AR37" s="20">
        <v>112205</v>
      </c>
      <c r="AS37" s="20">
        <v>148169</v>
      </c>
      <c r="AT37" s="210">
        <v>262103</v>
      </c>
      <c r="AU37" s="21">
        <v>116070</v>
      </c>
      <c r="AV37" s="50">
        <f t="shared" ref="AV37" si="70">AO37/AH37</f>
        <v>3.3947688000819355E-2</v>
      </c>
      <c r="AW37" s="51">
        <f t="shared" si="67"/>
        <v>2.6816443498381869E-2</v>
      </c>
      <c r="AX37" s="51">
        <f t="shared" si="67"/>
        <v>1.224407248565015E-2</v>
      </c>
      <c r="AY37" s="51">
        <f t="shared" si="67"/>
        <v>6.2411247318299307E-2</v>
      </c>
      <c r="AZ37" s="51">
        <f t="shared" si="67"/>
        <v>8.4507098484485538E-2</v>
      </c>
      <c r="BA37" s="211">
        <f t="shared" si="67"/>
        <v>0.12972814321110354</v>
      </c>
      <c r="BB37" s="52">
        <f t="shared" si="5"/>
        <v>5.530492755611971E-2</v>
      </c>
      <c r="BC37" s="50" t="s">
        <v>226</v>
      </c>
      <c r="BD37" s="53">
        <f t="shared" ref="BD37:BI37" si="71">(AW37-$AV37)*100</f>
        <v>-0.7131244502437486</v>
      </c>
      <c r="BE37" s="53">
        <f t="shared" si="71"/>
        <v>-2.1703615515169203</v>
      </c>
      <c r="BF37" s="53">
        <f t="shared" si="71"/>
        <v>2.8463559317479952</v>
      </c>
      <c r="BG37" s="53">
        <f t="shared" si="71"/>
        <v>5.0559410483666181</v>
      </c>
      <c r="BH37" s="212">
        <f t="shared" si="71"/>
        <v>9.5780455210284199</v>
      </c>
      <c r="BI37" s="54">
        <f t="shared" si="71"/>
        <v>2.1357239555300356</v>
      </c>
      <c r="BJ37" s="2" t="s">
        <v>226</v>
      </c>
      <c r="BK37" s="55">
        <f t="shared" ref="BK37" si="72">(AW37-AV37)*100</f>
        <v>-0.7131244502437486</v>
      </c>
      <c r="BL37" s="55">
        <f t="shared" si="68"/>
        <v>-1.457237101273172</v>
      </c>
      <c r="BM37" s="55">
        <f t="shared" si="68"/>
        <v>5.0167174832649151</v>
      </c>
      <c r="BN37" s="55">
        <f t="shared" si="68"/>
        <v>2.2095851166186229</v>
      </c>
      <c r="BO37" s="213">
        <f t="shared" si="68"/>
        <v>4.5221044726618</v>
      </c>
      <c r="BP37" s="56">
        <f t="shared" si="38"/>
        <v>-7.442321565498383</v>
      </c>
      <c r="BQ37" s="50">
        <f t="shared" si="69"/>
        <v>0.81034482758620685</v>
      </c>
      <c r="BR37" s="51">
        <f t="shared" si="69"/>
        <v>0.22818791946308725</v>
      </c>
      <c r="BS37" s="51">
        <f t="shared" si="69"/>
        <v>0.16356107660455488</v>
      </c>
      <c r="BT37" s="211">
        <f t="shared" si="51"/>
        <v>3.7465564738292011E-2</v>
      </c>
      <c r="BU37" s="52">
        <f t="shared" si="30"/>
        <v>4.0659340659340661E-2</v>
      </c>
      <c r="BV37" s="410">
        <f t="shared" si="39"/>
        <v>5.1077059737952409E-2</v>
      </c>
      <c r="BW37" s="57">
        <f t="shared" si="16"/>
        <v>2.7548209366391185E-3</v>
      </c>
    </row>
    <row r="38" spans="1:75" x14ac:dyDescent="0.25">
      <c r="A38" s="12">
        <v>67</v>
      </c>
      <c r="B38" s="17" t="s">
        <v>295</v>
      </c>
      <c r="C38" s="2">
        <v>42</v>
      </c>
      <c r="D38" s="3">
        <v>33</v>
      </c>
      <c r="E38" s="3">
        <v>33</v>
      </c>
      <c r="F38" s="144">
        <v>28</v>
      </c>
      <c r="G38" s="4">
        <v>29</v>
      </c>
      <c r="H38" s="2">
        <v>1262</v>
      </c>
      <c r="I38" s="3">
        <v>998</v>
      </c>
      <c r="J38" s="3">
        <v>998</v>
      </c>
      <c r="K38" s="144">
        <v>878</v>
      </c>
      <c r="L38" s="4">
        <v>2173</v>
      </c>
      <c r="M38" s="2">
        <v>301</v>
      </c>
      <c r="N38" s="3">
        <v>263</v>
      </c>
      <c r="O38" s="3">
        <v>248</v>
      </c>
      <c r="P38" s="144">
        <v>261</v>
      </c>
      <c r="Q38" s="4">
        <v>1283</v>
      </c>
      <c r="R38" s="2">
        <v>2</v>
      </c>
      <c r="S38" s="3">
        <v>1</v>
      </c>
      <c r="T38" s="3">
        <v>3</v>
      </c>
      <c r="U38" s="3">
        <v>0</v>
      </c>
      <c r="V38" s="3">
        <v>28</v>
      </c>
      <c r="W38" s="144">
        <v>30</v>
      </c>
      <c r="X38" s="4">
        <v>57</v>
      </c>
      <c r="Y38" s="2">
        <f>AVERAGE((23.92+23.91+24.41)/3)</f>
        <v>24.08</v>
      </c>
      <c r="Z38" s="3">
        <v>24.08</v>
      </c>
      <c r="AA38" s="3">
        <f>AVERAGE((31.96+29.23+29.82+40.25+39.28+40)/6)</f>
        <v>35.089999999999996</v>
      </c>
      <c r="AB38" s="144">
        <v>35.090000000000003</v>
      </c>
      <c r="AC38" s="3">
        <v>35.090000000000003</v>
      </c>
      <c r="AD38" s="148"/>
      <c r="AE38" s="3"/>
      <c r="AF38" s="144">
        <v>35.090000000000003</v>
      </c>
      <c r="AG38" s="144">
        <v>35.090000000000003</v>
      </c>
      <c r="AH38" s="19">
        <v>273622.38</v>
      </c>
      <c r="AI38" s="20">
        <v>286015.49</v>
      </c>
      <c r="AJ38" s="20">
        <v>327869.62</v>
      </c>
      <c r="AK38" s="20">
        <v>397491.57</v>
      </c>
      <c r="AL38" s="20">
        <v>393754.56</v>
      </c>
      <c r="AM38" s="153">
        <v>369381</v>
      </c>
      <c r="AN38" s="86">
        <v>360529.39</v>
      </c>
      <c r="AO38" s="19">
        <v>73521.490000000005</v>
      </c>
      <c r="AP38" s="20">
        <v>67572.06</v>
      </c>
      <c r="AQ38" s="20">
        <v>77854.850000000006</v>
      </c>
      <c r="AR38" s="20">
        <v>128271.72</v>
      </c>
      <c r="AS38" s="20">
        <v>163195.20000000001</v>
      </c>
      <c r="AT38" s="210">
        <v>186064</v>
      </c>
      <c r="AU38" s="21">
        <v>176111.52</v>
      </c>
      <c r="AV38" s="50">
        <f t="shared" ref="AV38:AV39" si="73">AO38/AH38</f>
        <v>0.26869691726239647</v>
      </c>
      <c r="AW38" s="51">
        <f t="shared" ref="AW38:BA39" si="74">AP38/AI38</f>
        <v>0.23625314838717301</v>
      </c>
      <c r="AX38" s="51">
        <f t="shared" si="74"/>
        <v>0.23745673661377961</v>
      </c>
      <c r="AY38" s="51">
        <f t="shared" si="74"/>
        <v>0.32270299468237779</v>
      </c>
      <c r="AZ38" s="51">
        <f t="shared" si="74"/>
        <v>0.41445920016773902</v>
      </c>
      <c r="BA38" s="211">
        <f t="shared" si="74"/>
        <v>0.50371838291628424</v>
      </c>
      <c r="BB38" s="52">
        <f t="shared" si="5"/>
        <v>0.4884803427537488</v>
      </c>
      <c r="BC38" s="50" t="s">
        <v>226</v>
      </c>
      <c r="BD38" s="53">
        <f t="shared" ref="BD38:BG39" si="75">(AW38-$AV38)*100</f>
        <v>-3.2443768875223462</v>
      </c>
      <c r="BE38" s="53">
        <f t="shared" si="75"/>
        <v>-3.1240180648616862</v>
      </c>
      <c r="BF38" s="53">
        <f t="shared" si="75"/>
        <v>5.4006077419981313</v>
      </c>
      <c r="BG38" s="53">
        <f t="shared" si="75"/>
        <v>14.576228290534255</v>
      </c>
      <c r="BH38" s="212">
        <f t="shared" ref="BH38:BH39" si="76">(BA38-$AV38)*100</f>
        <v>23.502146565388777</v>
      </c>
      <c r="BI38" s="54">
        <f t="shared" si="40"/>
        <v>21.978342549135231</v>
      </c>
      <c r="BJ38" s="2" t="s">
        <v>226</v>
      </c>
      <c r="BK38" s="55">
        <f t="shared" ref="BK38:BK39" si="77">(AW38-AV38)*100</f>
        <v>-3.2443768875223462</v>
      </c>
      <c r="BL38" s="55">
        <f t="shared" ref="BL38:BO39" si="78">(AX38-AW38)*100</f>
        <v>0.12035882266066</v>
      </c>
      <c r="BM38" s="55">
        <f t="shared" si="78"/>
        <v>8.5246258068598166</v>
      </c>
      <c r="BN38" s="55">
        <f t="shared" si="78"/>
        <v>9.1756205485361235</v>
      </c>
      <c r="BO38" s="213">
        <f t="shared" si="78"/>
        <v>8.9259182748545225</v>
      </c>
      <c r="BP38" s="56">
        <f t="shared" si="38"/>
        <v>-1.5238040162535438</v>
      </c>
      <c r="BQ38" s="50">
        <f t="shared" ref="BQ38:BS39" si="79">T38/M38</f>
        <v>9.9667774086378731E-3</v>
      </c>
      <c r="BR38" s="51">
        <f t="shared" si="79"/>
        <v>0</v>
      </c>
      <c r="BS38" s="51">
        <f t="shared" si="79"/>
        <v>0.11290322580645161</v>
      </c>
      <c r="BT38" s="211">
        <f t="shared" si="51"/>
        <v>0.11494252873563218</v>
      </c>
      <c r="BU38" s="52">
        <f t="shared" si="30"/>
        <v>4.4427123928293066E-2</v>
      </c>
      <c r="BV38" s="410">
        <f t="shared" si="39"/>
        <v>0</v>
      </c>
      <c r="BW38" s="57">
        <f t="shared" si="16"/>
        <v>3.9157088122605366</v>
      </c>
    </row>
    <row r="39" spans="1:75" x14ac:dyDescent="0.25">
      <c r="A39" s="12">
        <v>72</v>
      </c>
      <c r="B39" s="17" t="s">
        <v>379</v>
      </c>
      <c r="C39" s="2">
        <v>0</v>
      </c>
      <c r="D39" s="3">
        <v>0</v>
      </c>
      <c r="E39" s="3">
        <v>2</v>
      </c>
      <c r="F39" s="144">
        <v>6</v>
      </c>
      <c r="G39" s="4">
        <v>9</v>
      </c>
      <c r="H39" s="2">
        <v>2305</v>
      </c>
      <c r="I39" s="3">
        <v>2303</v>
      </c>
      <c r="J39" s="3">
        <v>2303</v>
      </c>
      <c r="K39" s="144">
        <v>2219</v>
      </c>
      <c r="L39" s="4">
        <v>2090</v>
      </c>
      <c r="M39" s="2">
        <v>860</v>
      </c>
      <c r="N39" s="3">
        <v>1083</v>
      </c>
      <c r="O39" s="3">
        <v>1286</v>
      </c>
      <c r="P39" s="144">
        <v>424</v>
      </c>
      <c r="Q39" s="4">
        <v>386</v>
      </c>
      <c r="R39" s="2">
        <v>31</v>
      </c>
      <c r="S39" s="3">
        <v>5</v>
      </c>
      <c r="T39" s="3">
        <v>21</v>
      </c>
      <c r="U39" s="3">
        <v>63</v>
      </c>
      <c r="V39" s="3">
        <v>41</v>
      </c>
      <c r="W39" s="144">
        <v>41</v>
      </c>
      <c r="X39" s="4">
        <v>66</v>
      </c>
      <c r="Y39" s="2">
        <v>23.89</v>
      </c>
      <c r="Z39" s="3">
        <v>30.11</v>
      </c>
      <c r="AA39" s="49">
        <v>39.200000000000003</v>
      </c>
      <c r="AB39" s="144">
        <v>39.18</v>
      </c>
      <c r="AC39" s="3">
        <v>39.18</v>
      </c>
      <c r="AD39" s="148"/>
      <c r="AE39" s="3"/>
      <c r="AF39" s="153">
        <v>38.130000000000003</v>
      </c>
      <c r="AG39" s="153">
        <v>38.130000000000003</v>
      </c>
      <c r="AH39" s="19">
        <v>417704.93</v>
      </c>
      <c r="AI39" s="20">
        <v>437784.75</v>
      </c>
      <c r="AJ39" s="20">
        <v>569670.18000000005</v>
      </c>
      <c r="AK39" s="20">
        <v>675940.65</v>
      </c>
      <c r="AL39" s="20">
        <v>646779.71</v>
      </c>
      <c r="AM39" s="210">
        <v>682277.48</v>
      </c>
      <c r="AN39" s="21">
        <v>625048.62</v>
      </c>
      <c r="AO39" s="19">
        <v>20709.849999999999</v>
      </c>
      <c r="AP39" s="20">
        <v>17741.560000000001</v>
      </c>
      <c r="AQ39" s="20">
        <v>24551.39</v>
      </c>
      <c r="AR39" s="20">
        <v>40978.92</v>
      </c>
      <c r="AS39" s="20">
        <v>73865.45</v>
      </c>
      <c r="AT39" s="210">
        <v>97920.36</v>
      </c>
      <c r="AU39" s="21">
        <v>110025.23</v>
      </c>
      <c r="AV39" s="50">
        <f t="shared" si="73"/>
        <v>4.9580094733380327E-2</v>
      </c>
      <c r="AW39" s="51">
        <f t="shared" si="74"/>
        <v>4.0525760662060525E-2</v>
      </c>
      <c r="AX39" s="51">
        <f t="shared" si="74"/>
        <v>4.3097551639441609E-2</v>
      </c>
      <c r="AY39" s="51">
        <f t="shared" si="74"/>
        <v>6.0625026768252502E-2</v>
      </c>
      <c r="AZ39" s="51">
        <f t="shared" si="74"/>
        <v>0.1142049585940165</v>
      </c>
      <c r="BA39" s="211">
        <f t="shared" si="74"/>
        <v>0.14351984767253348</v>
      </c>
      <c r="BB39" s="52">
        <f t="shared" si="5"/>
        <v>0.17602667453293472</v>
      </c>
      <c r="BC39" s="50" t="s">
        <v>226</v>
      </c>
      <c r="BD39" s="53">
        <f t="shared" si="75"/>
        <v>-0.90543340713198017</v>
      </c>
      <c r="BE39" s="53">
        <f t="shared" si="75"/>
        <v>-0.64825430939387185</v>
      </c>
      <c r="BF39" s="53">
        <f t="shared" si="75"/>
        <v>1.1044932034872175</v>
      </c>
      <c r="BG39" s="53">
        <f t="shared" si="75"/>
        <v>6.4624863860636177</v>
      </c>
      <c r="BH39" s="212">
        <f t="shared" si="76"/>
        <v>9.3939752939153163</v>
      </c>
      <c r="BI39" s="54">
        <f t="shared" si="40"/>
        <v>12.64465797995544</v>
      </c>
      <c r="BJ39" s="2" t="s">
        <v>226</v>
      </c>
      <c r="BK39" s="55">
        <f t="shared" si="77"/>
        <v>-0.90543340713198017</v>
      </c>
      <c r="BL39" s="55">
        <f t="shared" si="78"/>
        <v>0.25717909773810832</v>
      </c>
      <c r="BM39" s="55">
        <f t="shared" si="78"/>
        <v>1.7527475128810894</v>
      </c>
      <c r="BN39" s="55">
        <f t="shared" si="78"/>
        <v>5.3579931825763998</v>
      </c>
      <c r="BO39" s="213">
        <f t="shared" si="78"/>
        <v>2.9314889078516981</v>
      </c>
      <c r="BP39" s="56">
        <f t="shared" si="38"/>
        <v>3.2506826860401237</v>
      </c>
      <c r="BQ39" s="50">
        <f t="shared" si="79"/>
        <v>2.441860465116279E-2</v>
      </c>
      <c r="BR39" s="51">
        <f t="shared" si="79"/>
        <v>5.817174515235457E-2</v>
      </c>
      <c r="BS39" s="51">
        <f t="shared" si="79"/>
        <v>3.1881804043545882E-2</v>
      </c>
      <c r="BT39" s="211">
        <f t="shared" si="51"/>
        <v>9.6698113207547176E-2</v>
      </c>
      <c r="BU39" s="52">
        <f t="shared" si="30"/>
        <v>0.17098445595854922</v>
      </c>
      <c r="BV39" s="410">
        <f t="shared" si="39"/>
        <v>0</v>
      </c>
      <c r="BW39" s="57">
        <f t="shared" si="16"/>
        <v>-8.9622641509433956E-2</v>
      </c>
    </row>
    <row r="40" spans="1:75" x14ac:dyDescent="0.25">
      <c r="A40" s="12">
        <v>72</v>
      </c>
      <c r="B40" s="17" t="s">
        <v>274</v>
      </c>
      <c r="C40" s="2">
        <v>12</v>
      </c>
      <c r="D40" s="3">
        <v>12</v>
      </c>
      <c r="E40" s="3">
        <v>12</v>
      </c>
      <c r="F40" s="144">
        <v>0</v>
      </c>
      <c r="G40" s="4">
        <v>0</v>
      </c>
      <c r="H40" s="2">
        <v>639</v>
      </c>
      <c r="I40" s="3">
        <v>631</v>
      </c>
      <c r="J40" s="3">
        <v>628</v>
      </c>
      <c r="K40" s="144">
        <v>691</v>
      </c>
      <c r="L40" s="4">
        <v>707</v>
      </c>
      <c r="M40" s="2">
        <v>115</v>
      </c>
      <c r="N40" s="3">
        <v>117</v>
      </c>
      <c r="O40" s="3">
        <v>126</v>
      </c>
      <c r="P40" s="144">
        <v>279</v>
      </c>
      <c r="Q40" s="4">
        <v>198</v>
      </c>
      <c r="R40" s="2">
        <v>4</v>
      </c>
      <c r="S40" s="3">
        <v>1</v>
      </c>
      <c r="T40" s="3">
        <v>0</v>
      </c>
      <c r="U40" s="3">
        <v>4</v>
      </c>
      <c r="V40" s="3">
        <v>1</v>
      </c>
      <c r="W40" s="144">
        <v>5</v>
      </c>
      <c r="X40" s="4">
        <v>4</v>
      </c>
      <c r="Y40" s="2">
        <v>14.58</v>
      </c>
      <c r="Z40" s="3">
        <v>17.22</v>
      </c>
      <c r="AA40" s="3">
        <v>23.99</v>
      </c>
      <c r="AB40" s="144">
        <v>23.99</v>
      </c>
      <c r="AC40" s="3">
        <v>23.99</v>
      </c>
      <c r="AD40" s="148"/>
      <c r="AE40" s="3"/>
      <c r="AF40" s="153">
        <v>30.77</v>
      </c>
      <c r="AG40" s="86">
        <v>32.64</v>
      </c>
      <c r="AH40" s="19">
        <v>58571</v>
      </c>
      <c r="AI40" s="20">
        <v>61358</v>
      </c>
      <c r="AJ40" s="20">
        <v>66491</v>
      </c>
      <c r="AK40" s="20">
        <v>106989</v>
      </c>
      <c r="AL40" s="20">
        <v>102150</v>
      </c>
      <c r="AM40" s="210">
        <v>95617.79</v>
      </c>
      <c r="AN40" s="21">
        <v>89283.839999999997</v>
      </c>
      <c r="AO40" s="19">
        <v>7848</v>
      </c>
      <c r="AP40" s="20">
        <v>7162</v>
      </c>
      <c r="AQ40" s="20">
        <v>8537</v>
      </c>
      <c r="AR40" s="20">
        <v>13674</v>
      </c>
      <c r="AS40" s="20">
        <v>15430</v>
      </c>
      <c r="AT40" s="210">
        <v>17587.75</v>
      </c>
      <c r="AU40" s="21">
        <v>12504.03</v>
      </c>
      <c r="AV40" s="50">
        <f t="shared" ref="AV40:BA40" si="80">AO40/AH40</f>
        <v>0.13399122432603167</v>
      </c>
      <c r="AW40" s="51">
        <f t="shared" si="80"/>
        <v>0.11672479546269435</v>
      </c>
      <c r="AX40" s="51">
        <f t="shared" si="80"/>
        <v>0.12839331638868418</v>
      </c>
      <c r="AY40" s="51">
        <f t="shared" si="80"/>
        <v>0.12780753161539971</v>
      </c>
      <c r="AZ40" s="51">
        <f t="shared" si="80"/>
        <v>0.15105237395986296</v>
      </c>
      <c r="BA40" s="211">
        <f t="shared" si="80"/>
        <v>0.18393805169519187</v>
      </c>
      <c r="BB40" s="52">
        <f t="shared" si="5"/>
        <v>0.14004807588920909</v>
      </c>
      <c r="BC40" s="50" t="s">
        <v>226</v>
      </c>
      <c r="BD40" s="53">
        <f>(AW40-$AV40)*100</f>
        <v>-1.7266428863337318</v>
      </c>
      <c r="BE40" s="53">
        <f>(AX40-$AV40)*100</f>
        <v>-0.55979079373474905</v>
      </c>
      <c r="BF40" s="53">
        <f t="shared" ref="BF40:BH40" si="81">(AY40-$AV40)*100</f>
        <v>-0.61836927106319606</v>
      </c>
      <c r="BG40" s="53">
        <f t="shared" si="81"/>
        <v>1.7061149633831292</v>
      </c>
      <c r="BH40" s="212">
        <f t="shared" si="81"/>
        <v>4.9946827369160198</v>
      </c>
      <c r="BI40" s="54">
        <f t="shared" si="40"/>
        <v>0.60568515631774233</v>
      </c>
      <c r="BJ40" s="2" t="s">
        <v>226</v>
      </c>
      <c r="BK40" s="55">
        <f t="shared" ref="BK40:BP40" si="82">(AW40-AV40)*100</f>
        <v>-1.7266428863337318</v>
      </c>
      <c r="BL40" s="55">
        <f t="shared" si="82"/>
        <v>1.1668520925989827</v>
      </c>
      <c r="BM40" s="55">
        <f t="shared" si="82"/>
        <v>-5.8578477328447009E-2</v>
      </c>
      <c r="BN40" s="55">
        <f t="shared" si="82"/>
        <v>2.324484234446325</v>
      </c>
      <c r="BO40" s="56">
        <f t="shared" si="82"/>
        <v>3.2885677735328911</v>
      </c>
      <c r="BP40" s="56">
        <f t="shared" si="82"/>
        <v>-4.3889975805982777</v>
      </c>
      <c r="BQ40" s="50">
        <f t="shared" ref="BQ40:BT40" si="83">T40/M40</f>
        <v>0</v>
      </c>
      <c r="BR40" s="51">
        <f t="shared" si="83"/>
        <v>3.4188034188034191E-2</v>
      </c>
      <c r="BS40" s="51">
        <f t="shared" si="83"/>
        <v>7.9365079365079361E-3</v>
      </c>
      <c r="BT40" s="211">
        <f t="shared" si="83"/>
        <v>1.7921146953405017E-2</v>
      </c>
      <c r="BU40" s="52">
        <f t="shared" si="30"/>
        <v>2.0202020202020204E-2</v>
      </c>
      <c r="BV40" s="410">
        <f t="shared" si="39"/>
        <v>6.0773480662983458E-2</v>
      </c>
      <c r="BW40" s="57">
        <f t="shared" si="16"/>
        <v>-0.29032258064516131</v>
      </c>
    </row>
    <row r="41" spans="1:75" x14ac:dyDescent="0.25">
      <c r="A41" s="12">
        <v>79</v>
      </c>
      <c r="B41" s="17" t="s">
        <v>45</v>
      </c>
      <c r="C41" s="2">
        <v>2</v>
      </c>
      <c r="D41" s="3">
        <v>7</v>
      </c>
      <c r="E41" s="3">
        <v>7</v>
      </c>
      <c r="F41" s="3">
        <v>6</v>
      </c>
      <c r="G41" s="144"/>
      <c r="H41" s="2">
        <v>901</v>
      </c>
      <c r="I41" s="3">
        <v>889</v>
      </c>
      <c r="J41" s="3">
        <v>889</v>
      </c>
      <c r="K41" s="3">
        <v>927</v>
      </c>
      <c r="L41" s="4"/>
      <c r="M41" s="2">
        <v>0</v>
      </c>
      <c r="N41" s="3">
        <v>127</v>
      </c>
      <c r="O41" s="3">
        <v>280</v>
      </c>
      <c r="P41" s="144">
        <v>268</v>
      </c>
      <c r="Q41" s="4"/>
      <c r="R41" s="2">
        <v>16</v>
      </c>
      <c r="S41" s="3">
        <v>6</v>
      </c>
      <c r="T41" s="3">
        <v>34</v>
      </c>
      <c r="U41" s="3">
        <v>69</v>
      </c>
      <c r="V41" s="3">
        <v>22</v>
      </c>
      <c r="W41" s="144">
        <v>73</v>
      </c>
      <c r="X41" s="4"/>
      <c r="Y41" s="2">
        <v>26.64</v>
      </c>
      <c r="Z41" s="3" t="s">
        <v>85</v>
      </c>
      <c r="AA41" s="3" t="s">
        <v>84</v>
      </c>
      <c r="AB41" s="144"/>
      <c r="AC41" s="3"/>
      <c r="AD41" s="148"/>
      <c r="AE41" s="3"/>
      <c r="AF41" s="49">
        <v>44.76</v>
      </c>
      <c r="AG41" s="86"/>
      <c r="AH41" s="19">
        <v>188645</v>
      </c>
      <c r="AI41" s="20">
        <v>202069</v>
      </c>
      <c r="AJ41" s="20">
        <v>261787</v>
      </c>
      <c r="AK41" s="20">
        <v>235369</v>
      </c>
      <c r="AL41" s="20">
        <v>238880</v>
      </c>
      <c r="AM41" s="210">
        <v>342129</v>
      </c>
      <c r="AN41" s="21"/>
      <c r="AO41" s="19">
        <v>15375</v>
      </c>
      <c r="AP41" s="20">
        <v>13331</v>
      </c>
      <c r="AQ41" s="20">
        <v>30183</v>
      </c>
      <c r="AR41" s="20">
        <v>32750</v>
      </c>
      <c r="AS41" s="20">
        <v>67555</v>
      </c>
      <c r="AT41" s="210">
        <v>50079</v>
      </c>
      <c r="AU41" s="210"/>
      <c r="AV41" s="50">
        <f t="shared" ref="AV41:BA42" si="84">AO41/AH41</f>
        <v>8.15022926661189E-2</v>
      </c>
      <c r="AW41" s="51">
        <f t="shared" si="84"/>
        <v>6.5972514339161376E-2</v>
      </c>
      <c r="AX41" s="51">
        <f t="shared" si="84"/>
        <v>0.11529602310275147</v>
      </c>
      <c r="AY41" s="51">
        <f t="shared" si="84"/>
        <v>0.1391432176709762</v>
      </c>
      <c r="AZ41" s="51">
        <f t="shared" si="84"/>
        <v>0.28279889484259879</v>
      </c>
      <c r="BA41" s="51">
        <v>0.15</v>
      </c>
      <c r="BB41" s="211"/>
      <c r="BC41" s="50" t="s">
        <v>226</v>
      </c>
      <c r="BD41" s="53">
        <f t="shared" ref="BD41:BH42" si="85">(AW41-$AV41)*100</f>
        <v>-1.5529778326957524</v>
      </c>
      <c r="BE41" s="53">
        <f t="shared" si="85"/>
        <v>3.3793730436632572</v>
      </c>
      <c r="BF41" s="53">
        <f t="shared" si="85"/>
        <v>5.7640925004857309</v>
      </c>
      <c r="BG41" s="53">
        <f t="shared" si="85"/>
        <v>20.129660217647988</v>
      </c>
      <c r="BH41" s="53">
        <f>(BA41-$AV41)*100</f>
        <v>6.8497707333881097</v>
      </c>
      <c r="BI41" s="212"/>
      <c r="BJ41" s="2" t="s">
        <v>226</v>
      </c>
      <c r="BK41" s="55">
        <f t="shared" ref="BK41:BO42" si="86">(AW41-AV41)*100</f>
        <v>-1.5529778326957524</v>
      </c>
      <c r="BL41" s="55">
        <f t="shared" si="86"/>
        <v>4.9323508763590098</v>
      </c>
      <c r="BM41" s="55">
        <f t="shared" si="86"/>
        <v>2.3847194568224732</v>
      </c>
      <c r="BN41" s="55">
        <f t="shared" si="86"/>
        <v>14.365567717162259</v>
      </c>
      <c r="BO41" s="55">
        <f>(BA41-AZ41)*100</f>
        <v>-13.279889484259879</v>
      </c>
      <c r="BP41" s="213"/>
      <c r="BQ41" s="50"/>
      <c r="BR41" s="51">
        <f>U41/N41</f>
        <v>0.54330708661417326</v>
      </c>
      <c r="BS41" s="51">
        <f>V41/O41</f>
        <v>7.857142857142857E-2</v>
      </c>
      <c r="BT41" s="51">
        <f>W41/P41</f>
        <v>0.27238805970149255</v>
      </c>
      <c r="BU41" s="211"/>
      <c r="BV41" s="409"/>
      <c r="BW41" s="57"/>
    </row>
    <row r="42" spans="1:75" x14ac:dyDescent="0.25">
      <c r="A42" s="12">
        <v>86</v>
      </c>
      <c r="B42" s="17" t="s">
        <v>50</v>
      </c>
      <c r="C42" s="2">
        <v>120</v>
      </c>
      <c r="D42" s="3">
        <v>120</v>
      </c>
      <c r="E42" s="3">
        <v>120</v>
      </c>
      <c r="F42" s="144">
        <v>120</v>
      </c>
      <c r="G42" s="4">
        <v>119</v>
      </c>
      <c r="H42" s="2">
        <v>2</v>
      </c>
      <c r="I42" s="3">
        <v>2</v>
      </c>
      <c r="J42" s="3">
        <v>2</v>
      </c>
      <c r="K42" s="144">
        <v>2</v>
      </c>
      <c r="L42" s="4">
        <v>2</v>
      </c>
      <c r="M42" s="2"/>
      <c r="N42" s="3"/>
      <c r="O42" s="3"/>
      <c r="P42" s="144">
        <v>8</v>
      </c>
      <c r="Q42" s="4">
        <v>45</v>
      </c>
      <c r="R42" s="2"/>
      <c r="S42" s="3"/>
      <c r="T42" s="3"/>
      <c r="U42" s="3"/>
      <c r="V42" s="3"/>
      <c r="W42" s="144">
        <v>0</v>
      </c>
      <c r="X42" s="4">
        <v>0</v>
      </c>
      <c r="Y42" s="5">
        <v>21.4</v>
      </c>
      <c r="Z42" s="3">
        <v>27.47</v>
      </c>
      <c r="AA42" s="3">
        <v>40.729999999999997</v>
      </c>
      <c r="AB42" s="144">
        <v>46.63</v>
      </c>
      <c r="AC42" s="3">
        <v>37.67</v>
      </c>
      <c r="AD42" s="148"/>
      <c r="AE42" s="3"/>
      <c r="AF42" s="153">
        <v>44.41</v>
      </c>
      <c r="AG42" s="86">
        <v>38.909999999999997</v>
      </c>
      <c r="AH42" s="19">
        <v>1347491</v>
      </c>
      <c r="AI42" s="20">
        <v>1472627</v>
      </c>
      <c r="AJ42" s="20">
        <v>2134273</v>
      </c>
      <c r="AK42" s="20">
        <v>2834273</v>
      </c>
      <c r="AL42" s="20">
        <v>2284103</v>
      </c>
      <c r="AM42" s="210">
        <v>2586411.41</v>
      </c>
      <c r="AN42" s="21">
        <v>2622416</v>
      </c>
      <c r="AO42" s="19">
        <v>51302</v>
      </c>
      <c r="AP42" s="20">
        <v>66323</v>
      </c>
      <c r="AQ42" s="20">
        <v>116156</v>
      </c>
      <c r="AR42" s="20">
        <v>679970</v>
      </c>
      <c r="AS42" s="20">
        <v>411239</v>
      </c>
      <c r="AT42" s="210">
        <v>494777.98</v>
      </c>
      <c r="AU42" s="21">
        <v>383328</v>
      </c>
      <c r="AV42" s="50">
        <f t="shared" si="84"/>
        <v>3.8072239443528749E-2</v>
      </c>
      <c r="AW42" s="51">
        <f t="shared" si="84"/>
        <v>4.5037202224324287E-2</v>
      </c>
      <c r="AX42" s="51">
        <f t="shared" si="84"/>
        <v>5.4424152861419321E-2</v>
      </c>
      <c r="AY42" s="51">
        <f t="shared" si="84"/>
        <v>0.23990984636977455</v>
      </c>
      <c r="AZ42" s="51">
        <f t="shared" si="84"/>
        <v>0.18004398225474069</v>
      </c>
      <c r="BA42" s="211">
        <f t="shared" si="84"/>
        <v>0.19129902462037157</v>
      </c>
      <c r="BB42" s="52">
        <f t="shared" si="5"/>
        <v>0.1461736047980183</v>
      </c>
      <c r="BC42" s="50" t="s">
        <v>226</v>
      </c>
      <c r="BD42" s="53">
        <f t="shared" si="85"/>
        <v>0.69649627807955372</v>
      </c>
      <c r="BE42" s="53">
        <f t="shared" si="85"/>
        <v>1.6351913417890571</v>
      </c>
      <c r="BF42" s="53">
        <f t="shared" si="85"/>
        <v>20.183760692624581</v>
      </c>
      <c r="BG42" s="53">
        <f t="shared" si="85"/>
        <v>14.197174281121194</v>
      </c>
      <c r="BH42" s="212">
        <f t="shared" si="85"/>
        <v>15.322678517684283</v>
      </c>
      <c r="BI42" s="54">
        <f t="shared" si="40"/>
        <v>10.810136535448954</v>
      </c>
      <c r="BJ42" s="2" t="s">
        <v>226</v>
      </c>
      <c r="BK42" s="55">
        <f t="shared" si="86"/>
        <v>0.69649627807955372</v>
      </c>
      <c r="BL42" s="55">
        <f t="shared" si="86"/>
        <v>0.93869506370950351</v>
      </c>
      <c r="BM42" s="55">
        <f t="shared" si="86"/>
        <v>18.548569350835521</v>
      </c>
      <c r="BN42" s="55">
        <f t="shared" si="86"/>
        <v>-5.986586411503386</v>
      </c>
      <c r="BO42" s="213">
        <f t="shared" si="86"/>
        <v>1.1255042365630881</v>
      </c>
      <c r="BP42" s="56">
        <f t="shared" si="38"/>
        <v>-4.5125419822353265</v>
      </c>
      <c r="BQ42" s="50"/>
      <c r="BR42" s="51"/>
      <c r="BS42" s="51"/>
      <c r="BT42" s="211">
        <f t="shared" ref="BT42" si="87">W42/P42</f>
        <v>0</v>
      </c>
      <c r="BU42" s="52">
        <f t="shared" si="30"/>
        <v>0</v>
      </c>
      <c r="BV42" s="410">
        <f t="shared" si="39"/>
        <v>-0.12384598063499212</v>
      </c>
      <c r="BW42" s="57"/>
    </row>
    <row r="43" spans="1:75" x14ac:dyDescent="0.25">
      <c r="A43" s="12">
        <v>90</v>
      </c>
      <c r="B43" s="17" t="s">
        <v>256</v>
      </c>
      <c r="C43" s="2">
        <v>9</v>
      </c>
      <c r="D43" s="3">
        <v>11</v>
      </c>
      <c r="E43" s="3">
        <v>13</v>
      </c>
      <c r="F43" s="144">
        <v>21</v>
      </c>
      <c r="G43" s="4">
        <v>22</v>
      </c>
      <c r="H43" s="2">
        <v>2513</v>
      </c>
      <c r="I43" s="3">
        <v>2488</v>
      </c>
      <c r="J43" s="3">
        <v>2473</v>
      </c>
      <c r="K43" s="144">
        <v>2000</v>
      </c>
      <c r="L43" s="4">
        <v>1958</v>
      </c>
      <c r="M43" s="2">
        <v>567</v>
      </c>
      <c r="N43" s="3">
        <v>740</v>
      </c>
      <c r="O43" s="3">
        <v>798</v>
      </c>
      <c r="P43" s="144">
        <v>663</v>
      </c>
      <c r="Q43" s="4">
        <v>650</v>
      </c>
      <c r="R43" s="2">
        <v>1</v>
      </c>
      <c r="S43" s="3">
        <v>0</v>
      </c>
      <c r="T43" s="3">
        <v>2</v>
      </c>
      <c r="U43" s="3">
        <v>10</v>
      </c>
      <c r="V43" s="3">
        <v>46</v>
      </c>
      <c r="W43" s="144">
        <v>82</v>
      </c>
      <c r="X43" s="4">
        <v>50</v>
      </c>
      <c r="Y43" s="2">
        <v>29.12</v>
      </c>
      <c r="Z43" s="3">
        <v>34.74</v>
      </c>
      <c r="AA43" s="3">
        <v>48.41</v>
      </c>
      <c r="AB43" s="144">
        <v>48.81</v>
      </c>
      <c r="AC43" s="3">
        <v>58.12</v>
      </c>
      <c r="AD43" s="148"/>
      <c r="AE43" s="3"/>
      <c r="AF43" s="153">
        <v>46.33</v>
      </c>
      <c r="AG43" s="86">
        <v>46.33</v>
      </c>
      <c r="AH43" s="19">
        <v>65336</v>
      </c>
      <c r="AI43" s="20">
        <v>694027</v>
      </c>
      <c r="AJ43" s="20">
        <v>871699</v>
      </c>
      <c r="AK43" s="20">
        <v>1066215</v>
      </c>
      <c r="AL43" s="20">
        <v>1016533</v>
      </c>
      <c r="AM43" s="210">
        <v>1089220</v>
      </c>
      <c r="AN43" s="21">
        <v>1058542</v>
      </c>
      <c r="AO43" s="19">
        <v>2644</v>
      </c>
      <c r="AP43" s="20">
        <v>8216</v>
      </c>
      <c r="AQ43" s="20">
        <v>22508</v>
      </c>
      <c r="AR43" s="20">
        <v>90248</v>
      </c>
      <c r="AS43" s="20">
        <v>83010</v>
      </c>
      <c r="AT43" s="210">
        <v>166508</v>
      </c>
      <c r="AU43" s="21">
        <v>170340</v>
      </c>
      <c r="AV43" s="50">
        <f>AO43/AH43</f>
        <v>4.0467736010775072E-2</v>
      </c>
      <c r="AW43" s="51">
        <f>AP43/AI43</f>
        <v>1.1838156152426347E-2</v>
      </c>
      <c r="AX43" s="51">
        <f>AQ43/AJ43</f>
        <v>2.5820839532912164E-2</v>
      </c>
      <c r="AY43" s="51">
        <f>AR43/AK43</f>
        <v>8.4643341164774455E-2</v>
      </c>
      <c r="AZ43" s="51">
        <f>AS43/AL43</f>
        <v>8.1659916598870869E-2</v>
      </c>
      <c r="BA43" s="211">
        <f t="shared" ref="BA43" si="88">AT43/AM43</f>
        <v>0.15286902554121298</v>
      </c>
      <c r="BB43" s="52">
        <f t="shared" si="5"/>
        <v>0.16091945336132152</v>
      </c>
      <c r="BC43" s="50" t="s">
        <v>226</v>
      </c>
      <c r="BD43" s="53">
        <f>(AW43-$AV43)*100</f>
        <v>-2.8629579858348726</v>
      </c>
      <c r="BE43" s="53">
        <f>(AX43-$AV43)*100</f>
        <v>-1.4646896477862907</v>
      </c>
      <c r="BF43" s="53">
        <f>(AY43-$AV43)*100</f>
        <v>4.4175605153999387</v>
      </c>
      <c r="BG43" s="53">
        <f>(AZ43-$AV43)*100</f>
        <v>4.1192180588095795</v>
      </c>
      <c r="BH43" s="212">
        <f t="shared" ref="BH43" si="89">(BA43-$AV43)*100</f>
        <v>11.24012895304379</v>
      </c>
      <c r="BI43" s="54">
        <f t="shared" si="40"/>
        <v>12.045171735054645</v>
      </c>
      <c r="BJ43" s="2" t="s">
        <v>226</v>
      </c>
      <c r="BK43" s="55">
        <f>(AW43-AV43)*100</f>
        <v>-2.8629579858348726</v>
      </c>
      <c r="BL43" s="55">
        <f>(AX43-AW43)*100</f>
        <v>1.3982683380485816</v>
      </c>
      <c r="BM43" s="55">
        <f>(AY43-AX43)*100</f>
        <v>5.882250163186229</v>
      </c>
      <c r="BN43" s="55">
        <f>(AZ43-AY43)*100</f>
        <v>-0.29834245659035863</v>
      </c>
      <c r="BO43" s="213">
        <f t="shared" ref="BO43" si="90">(BA43-AZ43)*100</f>
        <v>7.1209108942342114</v>
      </c>
      <c r="BP43" s="56">
        <f t="shared" si="38"/>
        <v>0.80504278201085355</v>
      </c>
      <c r="BQ43" s="50">
        <f>T43/M43</f>
        <v>3.5273368606701938E-3</v>
      </c>
      <c r="BR43" s="51">
        <f>U43/N43</f>
        <v>1.3513513513513514E-2</v>
      </c>
      <c r="BS43" s="51">
        <f>V43/O43</f>
        <v>5.764411027568922E-2</v>
      </c>
      <c r="BT43" s="211">
        <f t="shared" ref="BT43" si="91">W43/P43</f>
        <v>0.12368024132730016</v>
      </c>
      <c r="BU43" s="52">
        <f t="shared" si="30"/>
        <v>7.6923076923076927E-2</v>
      </c>
      <c r="BV43" s="410">
        <f t="shared" si="39"/>
        <v>0</v>
      </c>
      <c r="BW43" s="57">
        <f t="shared" si="16"/>
        <v>-1.9607843137254902E-2</v>
      </c>
    </row>
    <row r="44" spans="1:75" s="24" customFormat="1" x14ac:dyDescent="0.25">
      <c r="A44" s="12">
        <v>94</v>
      </c>
      <c r="B44" s="17" t="s">
        <v>55</v>
      </c>
      <c r="C44" s="2">
        <v>8</v>
      </c>
      <c r="D44" s="3">
        <v>8</v>
      </c>
      <c r="E44" s="3">
        <v>8</v>
      </c>
      <c r="F44" s="144">
        <v>8</v>
      </c>
      <c r="G44" s="4">
        <v>8</v>
      </c>
      <c r="H44" s="2">
        <v>1920</v>
      </c>
      <c r="I44" s="3">
        <v>1919</v>
      </c>
      <c r="J44" s="3">
        <v>1918</v>
      </c>
      <c r="K44" s="144">
        <v>1919</v>
      </c>
      <c r="L44" s="4">
        <v>2059</v>
      </c>
      <c r="M44" s="2"/>
      <c r="N44" s="3"/>
      <c r="O44" s="3">
        <v>234</v>
      </c>
      <c r="P44" s="144">
        <v>450</v>
      </c>
      <c r="Q44" s="4">
        <v>358</v>
      </c>
      <c r="R44" s="2">
        <v>0</v>
      </c>
      <c r="S44" s="3">
        <v>0</v>
      </c>
      <c r="T44" s="3">
        <v>0</v>
      </c>
      <c r="U44" s="3">
        <v>0</v>
      </c>
      <c r="V44" s="3">
        <v>0</v>
      </c>
      <c r="W44" s="144">
        <v>20</v>
      </c>
      <c r="X44" s="4">
        <v>11</v>
      </c>
      <c r="Y44" s="5">
        <v>17.7</v>
      </c>
      <c r="Z44" s="49">
        <v>23.72</v>
      </c>
      <c r="AA44" s="49">
        <v>35.909999999999997</v>
      </c>
      <c r="AB44" s="153">
        <v>39.880000000000003</v>
      </c>
      <c r="AC44" s="49">
        <v>34.659999999999997</v>
      </c>
      <c r="AD44" s="148"/>
      <c r="AE44" s="3"/>
      <c r="AF44" s="153">
        <v>40.380000000000003</v>
      </c>
      <c r="AG44" s="86">
        <v>43.6</v>
      </c>
      <c r="AH44" s="19"/>
      <c r="AI44" s="20"/>
      <c r="AJ44" s="20"/>
      <c r="AK44" s="20"/>
      <c r="AL44" s="20">
        <v>406864</v>
      </c>
      <c r="AM44" s="210">
        <v>686293.7</v>
      </c>
      <c r="AN44" s="21">
        <v>748698</v>
      </c>
      <c r="AO44" s="19"/>
      <c r="AP44" s="20"/>
      <c r="AQ44" s="20"/>
      <c r="AR44" s="20"/>
      <c r="AS44" s="20">
        <v>44525</v>
      </c>
      <c r="AT44" s="210">
        <v>82844.12</v>
      </c>
      <c r="AU44" s="21">
        <v>98975</v>
      </c>
      <c r="AV44" s="50"/>
      <c r="AW44" s="51"/>
      <c r="AX44" s="51"/>
      <c r="AY44" s="51"/>
      <c r="AZ44" s="51">
        <f>AS44/AL44</f>
        <v>0.10943460222580519</v>
      </c>
      <c r="BA44" s="211">
        <f t="shared" ref="BA44:BA45" si="92">AT44/AM44</f>
        <v>0.12071234225230393</v>
      </c>
      <c r="BB44" s="52">
        <f t="shared" si="5"/>
        <v>0.13219615919903618</v>
      </c>
      <c r="BC44" s="50" t="s">
        <v>226</v>
      </c>
      <c r="BD44" s="53"/>
      <c r="BE44" s="53"/>
      <c r="BF44" s="53"/>
      <c r="BG44" s="53"/>
      <c r="BH44" s="212"/>
      <c r="BI44" s="54"/>
      <c r="BJ44" s="2" t="s">
        <v>226</v>
      </c>
      <c r="BK44" s="55"/>
      <c r="BL44" s="55"/>
      <c r="BM44" s="55"/>
      <c r="BN44" s="55"/>
      <c r="BO44" s="55">
        <f t="shared" ref="BO44:BP45" si="93">(BA44-AZ44)*100</f>
        <v>1.1277740026498742</v>
      </c>
      <c r="BP44" s="330">
        <f t="shared" si="93"/>
        <v>1.1483816946732257</v>
      </c>
      <c r="BQ44" s="50"/>
      <c r="BR44" s="51"/>
      <c r="BS44" s="51">
        <f>V44/O44</f>
        <v>0</v>
      </c>
      <c r="BT44" s="211">
        <f t="shared" ref="BT44:BT45" si="94">W44/P44</f>
        <v>4.4444444444444446E-2</v>
      </c>
      <c r="BU44" s="52">
        <f t="shared" si="30"/>
        <v>3.0726256983240222E-2</v>
      </c>
      <c r="BV44" s="410">
        <f t="shared" si="39"/>
        <v>7.9742446755819679E-2</v>
      </c>
      <c r="BW44" s="57">
        <f t="shared" si="16"/>
        <v>-0.20444444444444446</v>
      </c>
    </row>
    <row r="45" spans="1:75" s="24" customFormat="1" x14ac:dyDescent="0.25">
      <c r="A45" s="12">
        <v>95</v>
      </c>
      <c r="B45" s="17" t="s">
        <v>56</v>
      </c>
      <c r="C45" s="2"/>
      <c r="D45" s="3"/>
      <c r="E45" s="3"/>
      <c r="F45" s="144">
        <v>0</v>
      </c>
      <c r="G45" s="4">
        <v>0</v>
      </c>
      <c r="H45" s="2"/>
      <c r="I45" s="3"/>
      <c r="J45" s="3">
        <v>788</v>
      </c>
      <c r="K45" s="144">
        <v>590</v>
      </c>
      <c r="L45" s="4">
        <v>498</v>
      </c>
      <c r="M45" s="2"/>
      <c r="N45" s="3"/>
      <c r="O45" s="3">
        <v>294</v>
      </c>
      <c r="P45" s="144">
        <v>267</v>
      </c>
      <c r="Q45" s="4">
        <v>644</v>
      </c>
      <c r="R45" s="2"/>
      <c r="S45" s="3"/>
      <c r="T45" s="3"/>
      <c r="U45" s="3">
        <v>36</v>
      </c>
      <c r="V45" s="3">
        <v>142</v>
      </c>
      <c r="W45" s="144">
        <v>197</v>
      </c>
      <c r="X45" s="4">
        <v>10</v>
      </c>
      <c r="Y45" s="2">
        <v>29.12</v>
      </c>
      <c r="Z45" s="3">
        <v>29.12</v>
      </c>
      <c r="AA45" s="3">
        <v>32.78</v>
      </c>
      <c r="AB45" s="144">
        <v>32.18</v>
      </c>
      <c r="AC45" s="3">
        <v>32.18</v>
      </c>
      <c r="AD45" s="148"/>
      <c r="AE45" s="3"/>
      <c r="AF45" s="144">
        <v>32.18</v>
      </c>
      <c r="AG45" s="4">
        <v>40.83</v>
      </c>
      <c r="AH45" s="19"/>
      <c r="AI45" s="20"/>
      <c r="AJ45" s="20"/>
      <c r="AK45" s="20"/>
      <c r="AL45" s="20">
        <v>246297</v>
      </c>
      <c r="AM45" s="210">
        <v>195809</v>
      </c>
      <c r="AN45" s="21">
        <v>206072</v>
      </c>
      <c r="AO45" s="19"/>
      <c r="AP45" s="20"/>
      <c r="AQ45" s="20"/>
      <c r="AR45" s="20"/>
      <c r="AS45" s="20">
        <v>54126</v>
      </c>
      <c r="AT45" s="210">
        <v>71567</v>
      </c>
      <c r="AU45" s="21">
        <v>57432</v>
      </c>
      <c r="AV45" s="50"/>
      <c r="AW45" s="51"/>
      <c r="AX45" s="51"/>
      <c r="AY45" s="51"/>
      <c r="AZ45" s="51">
        <f>AS45/AL45</f>
        <v>0.21975907136505926</v>
      </c>
      <c r="BA45" s="211">
        <f t="shared" si="92"/>
        <v>0.36549392520262092</v>
      </c>
      <c r="BB45" s="52">
        <f t="shared" si="5"/>
        <v>0.27869870724795215</v>
      </c>
      <c r="BC45" s="50" t="s">
        <v>226</v>
      </c>
      <c r="BD45" s="53"/>
      <c r="BE45" s="53"/>
      <c r="BF45" s="53"/>
      <c r="BG45" s="53"/>
      <c r="BH45" s="212"/>
      <c r="BI45" s="54"/>
      <c r="BJ45" s="2" t="s">
        <v>226</v>
      </c>
      <c r="BK45" s="55"/>
      <c r="BL45" s="55"/>
      <c r="BM45" s="55"/>
      <c r="BN45" s="55"/>
      <c r="BO45" s="213"/>
      <c r="BP45" s="56">
        <f t="shared" si="93"/>
        <v>-8.6795217954668775</v>
      </c>
      <c r="BQ45" s="50"/>
      <c r="BR45" s="51"/>
      <c r="BS45" s="51">
        <f>V45/O45</f>
        <v>0.48299319727891155</v>
      </c>
      <c r="BT45" s="211">
        <f t="shared" si="94"/>
        <v>0.73782771535580527</v>
      </c>
      <c r="BU45" s="52">
        <f t="shared" si="30"/>
        <v>1.5527950310559006E-2</v>
      </c>
      <c r="BV45" s="410">
        <f t="shared" si="39"/>
        <v>0.26880049720323179</v>
      </c>
      <c r="BW45" s="57"/>
    </row>
    <row r="46" spans="1:75" x14ac:dyDescent="0.25">
      <c r="A46" s="12">
        <v>96</v>
      </c>
      <c r="B46" s="17" t="s">
        <v>238</v>
      </c>
      <c r="C46" s="2">
        <v>112</v>
      </c>
      <c r="D46" s="3">
        <v>113</v>
      </c>
      <c r="E46" s="3">
        <v>113</v>
      </c>
      <c r="F46" s="144"/>
      <c r="G46" s="4">
        <v>95</v>
      </c>
      <c r="H46" s="2">
        <v>2804</v>
      </c>
      <c r="I46" s="3">
        <v>2838</v>
      </c>
      <c r="J46" s="3">
        <v>2838</v>
      </c>
      <c r="K46" s="144"/>
      <c r="L46" s="4">
        <v>0</v>
      </c>
      <c r="M46" s="2">
        <v>497</v>
      </c>
      <c r="N46" s="3">
        <v>612</v>
      </c>
      <c r="O46" s="3">
        <v>663</v>
      </c>
      <c r="P46" s="144"/>
      <c r="Q46" s="4">
        <v>2718</v>
      </c>
      <c r="R46" s="2">
        <v>0</v>
      </c>
      <c r="S46" s="3">
        <v>0</v>
      </c>
      <c r="T46" s="3">
        <v>16</v>
      </c>
      <c r="U46" s="3">
        <v>18</v>
      </c>
      <c r="V46" s="3">
        <v>24</v>
      </c>
      <c r="W46" s="144"/>
      <c r="X46" s="4">
        <v>59</v>
      </c>
      <c r="Y46" s="5">
        <v>35.200000000000003</v>
      </c>
      <c r="Z46" s="49">
        <v>35.200000000000003</v>
      </c>
      <c r="AA46" s="49">
        <v>35.200000000000003</v>
      </c>
      <c r="AB46" s="153">
        <v>35.200000000000003</v>
      </c>
      <c r="AC46" s="49">
        <v>35.200000000000003</v>
      </c>
      <c r="AD46" s="148"/>
      <c r="AE46" s="3"/>
      <c r="AF46" s="153"/>
      <c r="AG46" s="86">
        <v>37.659999999999997</v>
      </c>
      <c r="AH46" s="19">
        <v>640233</v>
      </c>
      <c r="AI46" s="20">
        <v>663028</v>
      </c>
      <c r="AJ46" s="20">
        <v>757448</v>
      </c>
      <c r="AK46" s="20">
        <v>715049</v>
      </c>
      <c r="AL46" s="20">
        <v>731746</v>
      </c>
      <c r="AM46" s="210"/>
      <c r="AN46" s="21">
        <v>871863.48</v>
      </c>
      <c r="AO46" s="19">
        <v>73966</v>
      </c>
      <c r="AP46" s="20">
        <v>84365</v>
      </c>
      <c r="AQ46" s="20">
        <v>106086</v>
      </c>
      <c r="AR46" s="20">
        <v>120520</v>
      </c>
      <c r="AS46" s="20">
        <v>142215</v>
      </c>
      <c r="AT46" s="210"/>
      <c r="AU46" s="21">
        <v>291160.77</v>
      </c>
      <c r="AV46" s="50">
        <f>AO46/AH46</f>
        <v>0.11552981492675322</v>
      </c>
      <c r="AW46" s="51">
        <f>AP46/AI46</f>
        <v>0.12724198676375659</v>
      </c>
      <c r="AX46" s="51">
        <f>AQ46/AJ46</f>
        <v>0.14005713923596075</v>
      </c>
      <c r="AY46" s="51">
        <f>AR46/AK46</f>
        <v>0.16854788972503981</v>
      </c>
      <c r="AZ46" s="51">
        <f>AS46/AL46</f>
        <v>0.19435022535141974</v>
      </c>
      <c r="BA46" s="211"/>
      <c r="BB46" s="52">
        <f t="shared" si="5"/>
        <v>0.33395224903788839</v>
      </c>
      <c r="BC46" s="50" t="s">
        <v>226</v>
      </c>
      <c r="BD46" s="53">
        <f t="shared" ref="BD46:BF46" si="95">(AW46-$AV46)*100</f>
        <v>1.1712171837003362</v>
      </c>
      <c r="BE46" s="53">
        <f t="shared" si="95"/>
        <v>2.4527324309207525</v>
      </c>
      <c r="BF46" s="53">
        <f t="shared" si="95"/>
        <v>5.3018074798286587</v>
      </c>
      <c r="BG46" s="53">
        <f>(AZ46-$AV46)*100</f>
        <v>7.8820410424666516</v>
      </c>
      <c r="BH46" s="212"/>
      <c r="BI46" s="54">
        <f t="shared" ref="BI46" si="96">(BB46-$AV46)*100</f>
        <v>21.842243411113515</v>
      </c>
      <c r="BJ46" s="2" t="s">
        <v>226</v>
      </c>
      <c r="BK46" s="55">
        <f t="shared" ref="BK46:BM46" si="97">(AW46-AV46)*100</f>
        <v>1.1712171837003362</v>
      </c>
      <c r="BL46" s="55">
        <f t="shared" si="97"/>
        <v>1.2815152472204161</v>
      </c>
      <c r="BM46" s="55">
        <f t="shared" si="97"/>
        <v>2.8490750489079062</v>
      </c>
      <c r="BN46" s="55">
        <f>(AZ46-AY46)*100</f>
        <v>2.5802335626379929</v>
      </c>
      <c r="BO46" s="213"/>
      <c r="BP46" s="56"/>
      <c r="BQ46" s="50">
        <f t="shared" ref="BQ46:BR46" si="98">T46/M46</f>
        <v>3.2193158953722337E-2</v>
      </c>
      <c r="BR46" s="51">
        <f t="shared" si="98"/>
        <v>2.9411764705882353E-2</v>
      </c>
      <c r="BS46" s="51">
        <f>V46/O46</f>
        <v>3.6199095022624438E-2</v>
      </c>
      <c r="BT46" s="211"/>
      <c r="BU46" s="52">
        <f t="shared" si="30"/>
        <v>2.1707137601177335E-2</v>
      </c>
      <c r="BV46" s="410"/>
      <c r="BW46" s="57"/>
    </row>
    <row r="47" spans="1:75" x14ac:dyDescent="0.25">
      <c r="A47" s="12">
        <v>98</v>
      </c>
      <c r="B47" s="17" t="s">
        <v>178</v>
      </c>
      <c r="C47" s="2">
        <v>69</v>
      </c>
      <c r="D47" s="3">
        <v>72</v>
      </c>
      <c r="E47" s="3">
        <v>73</v>
      </c>
      <c r="F47" s="3">
        <v>69</v>
      </c>
      <c r="G47" s="144"/>
      <c r="H47" s="2">
        <v>6</v>
      </c>
      <c r="I47" s="3">
        <v>6</v>
      </c>
      <c r="J47" s="3">
        <v>7</v>
      </c>
      <c r="K47" s="3">
        <v>2968</v>
      </c>
      <c r="L47" s="4"/>
      <c r="M47" s="2">
        <v>634</v>
      </c>
      <c r="N47" s="3">
        <v>838</v>
      </c>
      <c r="O47" s="3">
        <v>896</v>
      </c>
      <c r="P47" s="144">
        <v>1247</v>
      </c>
      <c r="Q47" s="4"/>
      <c r="R47" s="2">
        <v>7</v>
      </c>
      <c r="S47" s="3">
        <v>0</v>
      </c>
      <c r="T47" s="3">
        <v>10</v>
      </c>
      <c r="U47" s="3">
        <v>8</v>
      </c>
      <c r="V47" s="3">
        <v>21</v>
      </c>
      <c r="W47" s="144">
        <v>31</v>
      </c>
      <c r="X47" s="4"/>
      <c r="Y47" s="2">
        <v>23.8</v>
      </c>
      <c r="Z47" s="3">
        <v>27.36</v>
      </c>
      <c r="AA47" s="3">
        <v>36.08</v>
      </c>
      <c r="AB47" s="144">
        <v>42.28</v>
      </c>
      <c r="AC47" s="3">
        <v>42.28</v>
      </c>
      <c r="AD47" s="148"/>
      <c r="AE47" s="3"/>
      <c r="AF47" s="49">
        <v>39.909999999999997</v>
      </c>
      <c r="AG47" s="86"/>
      <c r="AH47" s="19">
        <v>590498</v>
      </c>
      <c r="AI47" s="20">
        <v>549925</v>
      </c>
      <c r="AJ47" s="20">
        <v>716375</v>
      </c>
      <c r="AK47" s="20">
        <v>1023699</v>
      </c>
      <c r="AL47" s="20">
        <v>938308</v>
      </c>
      <c r="AM47" s="210">
        <v>1019207</v>
      </c>
      <c r="AN47" s="21"/>
      <c r="AO47" s="19">
        <v>126369</v>
      </c>
      <c r="AP47" s="20">
        <v>94665</v>
      </c>
      <c r="AQ47" s="20">
        <v>123747</v>
      </c>
      <c r="AR47" s="20">
        <v>195094</v>
      </c>
      <c r="AS47" s="20">
        <v>264167</v>
      </c>
      <c r="AT47" s="210">
        <v>76233</v>
      </c>
      <c r="AU47" s="210"/>
      <c r="AV47" s="50">
        <f t="shared" ref="AV47:AY48" si="99">AO47/AH47</f>
        <v>0.21400411178361314</v>
      </c>
      <c r="AW47" s="51">
        <f t="shared" si="99"/>
        <v>0.17214165568032005</v>
      </c>
      <c r="AX47" s="51">
        <f t="shared" si="99"/>
        <v>0.17274053393823066</v>
      </c>
      <c r="AY47" s="51">
        <f t="shared" si="99"/>
        <v>0.19057750373889201</v>
      </c>
      <c r="AZ47" s="51">
        <f>AS47/AL47</f>
        <v>0.2815354872813618</v>
      </c>
      <c r="BA47" s="51">
        <v>7.0000000000000007E-2</v>
      </c>
      <c r="BB47" s="211"/>
      <c r="BC47" s="50" t="s">
        <v>226</v>
      </c>
      <c r="BD47" s="53">
        <f t="shared" ref="BD47:BG48" si="100">(AW47-$AV47)*100</f>
        <v>-4.1862456103293084</v>
      </c>
      <c r="BE47" s="53">
        <f t="shared" si="100"/>
        <v>-4.1263577845382482</v>
      </c>
      <c r="BF47" s="53">
        <f t="shared" si="100"/>
        <v>-2.3426608044721133</v>
      </c>
      <c r="BG47" s="53">
        <f t="shared" si="100"/>
        <v>6.7531375497748654</v>
      </c>
      <c r="BH47" s="53">
        <f>(BA47-$AV47)*100</f>
        <v>-14.400411178361313</v>
      </c>
      <c r="BI47" s="212">
        <f t="shared" si="40"/>
        <v>-21.400411178361313</v>
      </c>
      <c r="BJ47" s="2" t="s">
        <v>226</v>
      </c>
      <c r="BK47" s="55">
        <f t="shared" ref="BK47:BN48" si="101">(AW47-AV47)*100</f>
        <v>-4.1862456103293084</v>
      </c>
      <c r="BL47" s="55">
        <f t="shared" si="101"/>
        <v>5.9887825791060667E-2</v>
      </c>
      <c r="BM47" s="55">
        <f t="shared" si="101"/>
        <v>1.7836969800661351</v>
      </c>
      <c r="BN47" s="55">
        <f t="shared" si="101"/>
        <v>9.0957983542469787</v>
      </c>
      <c r="BO47" s="55">
        <f>(BA47-AZ47)*100</f>
        <v>-21.15354872813618</v>
      </c>
      <c r="BP47" s="213"/>
      <c r="BQ47" s="50">
        <f t="shared" ref="BQ47:BR48" si="102">T47/M47</f>
        <v>1.5772870662460567E-2</v>
      </c>
      <c r="BR47" s="51">
        <f t="shared" si="102"/>
        <v>9.5465393794749408E-3</v>
      </c>
      <c r="BS47" s="51">
        <f>V47/O47</f>
        <v>2.34375E-2</v>
      </c>
      <c r="BT47" s="51">
        <f>W47/P47</f>
        <v>2.4859663191659984E-2</v>
      </c>
      <c r="BU47" s="211"/>
      <c r="BV47" s="409"/>
      <c r="BW47" s="57"/>
    </row>
    <row r="48" spans="1:75" x14ac:dyDescent="0.25">
      <c r="A48" s="12">
        <v>98</v>
      </c>
      <c r="B48" s="17" t="s">
        <v>191</v>
      </c>
      <c r="C48" s="2">
        <v>13</v>
      </c>
      <c r="D48" s="3">
        <v>13</v>
      </c>
      <c r="E48" s="3">
        <v>13</v>
      </c>
      <c r="F48" s="3"/>
      <c r="G48" s="144"/>
      <c r="H48" s="2">
        <v>3</v>
      </c>
      <c r="I48" s="3">
        <v>3</v>
      </c>
      <c r="J48" s="3">
        <v>3</v>
      </c>
      <c r="K48" s="3"/>
      <c r="L48" s="4"/>
      <c r="M48" s="2">
        <v>275</v>
      </c>
      <c r="N48" s="3">
        <v>355</v>
      </c>
      <c r="O48" s="144">
        <v>360</v>
      </c>
      <c r="P48" s="144"/>
      <c r="Q48" s="4"/>
      <c r="R48" s="2">
        <v>0</v>
      </c>
      <c r="S48" s="3">
        <v>2</v>
      </c>
      <c r="T48" s="3">
        <v>5</v>
      </c>
      <c r="U48" s="3">
        <v>24</v>
      </c>
      <c r="V48" s="144">
        <v>12</v>
      </c>
      <c r="W48" s="144"/>
      <c r="X48" s="4"/>
      <c r="Y48" s="2">
        <v>24.82</v>
      </c>
      <c r="Z48" s="3">
        <v>29.31</v>
      </c>
      <c r="AA48" s="3">
        <v>38.92</v>
      </c>
      <c r="AB48" s="3">
        <v>46.32</v>
      </c>
      <c r="AC48" s="3">
        <v>46</v>
      </c>
      <c r="AD48" s="148"/>
      <c r="AE48" s="6"/>
      <c r="AF48" s="3"/>
      <c r="AG48" s="4"/>
      <c r="AH48" s="19">
        <v>138789</v>
      </c>
      <c r="AI48" s="20">
        <v>134204</v>
      </c>
      <c r="AJ48" s="20">
        <v>180032</v>
      </c>
      <c r="AK48" s="20">
        <v>246178</v>
      </c>
      <c r="AL48" s="210">
        <v>286592</v>
      </c>
      <c r="AM48" s="210"/>
      <c r="AN48" s="21"/>
      <c r="AO48" s="19">
        <v>12362</v>
      </c>
      <c r="AP48" s="20">
        <v>9504</v>
      </c>
      <c r="AQ48" s="20">
        <v>14049</v>
      </c>
      <c r="AR48" s="20">
        <v>30870</v>
      </c>
      <c r="AS48" s="210">
        <v>60490</v>
      </c>
      <c r="AT48" s="210"/>
      <c r="AU48" s="210"/>
      <c r="AV48" s="50">
        <f t="shared" si="99"/>
        <v>8.9070459474454022E-2</v>
      </c>
      <c r="AW48" s="51">
        <f t="shared" si="99"/>
        <v>7.0817561324550679E-2</v>
      </c>
      <c r="AX48" s="51">
        <f t="shared" si="99"/>
        <v>7.8036126910771414E-2</v>
      </c>
      <c r="AY48" s="51">
        <f t="shared" si="99"/>
        <v>0.12539707041246578</v>
      </c>
      <c r="AZ48" s="51">
        <f>AS48/AL48</f>
        <v>0.2110666033943725</v>
      </c>
      <c r="BA48" s="51"/>
      <c r="BB48" s="211"/>
      <c r="BC48" s="50" t="s">
        <v>226</v>
      </c>
      <c r="BD48" s="53">
        <f t="shared" si="100"/>
        <v>-1.8252898149903343</v>
      </c>
      <c r="BE48" s="53">
        <f t="shared" si="100"/>
        <v>-1.1034332563682607</v>
      </c>
      <c r="BF48" s="53">
        <f t="shared" si="100"/>
        <v>3.6326610938011763</v>
      </c>
      <c r="BG48" s="53">
        <f t="shared" si="100"/>
        <v>12.199614391991847</v>
      </c>
      <c r="BH48" s="53"/>
      <c r="BI48" s="212"/>
      <c r="BJ48" s="2" t="s">
        <v>226</v>
      </c>
      <c r="BK48" s="55">
        <f t="shared" si="101"/>
        <v>-1.8252898149903343</v>
      </c>
      <c r="BL48" s="55">
        <f t="shared" si="101"/>
        <v>0.72185655862207354</v>
      </c>
      <c r="BM48" s="55">
        <f t="shared" si="101"/>
        <v>4.736094350169437</v>
      </c>
      <c r="BN48" s="55">
        <f t="shared" si="101"/>
        <v>8.566953298190672</v>
      </c>
      <c r="BO48" s="55"/>
      <c r="BP48" s="213"/>
      <c r="BQ48" s="50">
        <f t="shared" si="102"/>
        <v>1.8181818181818181E-2</v>
      </c>
      <c r="BR48" s="51">
        <f t="shared" si="102"/>
        <v>6.7605633802816895E-2</v>
      </c>
      <c r="BS48" s="51">
        <f>V48/O48</f>
        <v>3.3333333333333333E-2</v>
      </c>
      <c r="BT48" s="51"/>
      <c r="BU48" s="211"/>
      <c r="BV48" s="409"/>
      <c r="BW48" s="57"/>
    </row>
    <row r="49" spans="1:75" x14ac:dyDescent="0.25">
      <c r="A49" s="12">
        <v>98</v>
      </c>
      <c r="B49" s="17" t="s">
        <v>341</v>
      </c>
      <c r="C49" s="2"/>
      <c r="D49" s="3"/>
      <c r="E49" s="3"/>
      <c r="F49" s="3">
        <v>13</v>
      </c>
      <c r="G49" s="144"/>
      <c r="H49" s="2"/>
      <c r="I49" s="3"/>
      <c r="J49" s="3"/>
      <c r="K49" s="3">
        <v>890</v>
      </c>
      <c r="L49" s="4"/>
      <c r="M49" s="2"/>
      <c r="N49" s="3"/>
      <c r="O49" s="3"/>
      <c r="P49" s="144">
        <v>410</v>
      </c>
      <c r="Q49" s="4"/>
      <c r="R49" s="2"/>
      <c r="S49" s="3"/>
      <c r="T49" s="3"/>
      <c r="U49" s="3"/>
      <c r="V49" s="3"/>
      <c r="W49" s="144">
        <v>16</v>
      </c>
      <c r="X49" s="4"/>
      <c r="Y49" s="2"/>
      <c r="Z49" s="3"/>
      <c r="AA49" s="3"/>
      <c r="AB49" s="144"/>
      <c r="AC49" s="3"/>
      <c r="AD49" s="148"/>
      <c r="AE49" s="3"/>
      <c r="AF49" s="49">
        <v>45.39</v>
      </c>
      <c r="AG49" s="86"/>
      <c r="AH49" s="19"/>
      <c r="AI49" s="20"/>
      <c r="AJ49" s="20"/>
      <c r="AK49" s="20"/>
      <c r="AL49" s="20"/>
      <c r="AM49" s="210">
        <v>228630.51</v>
      </c>
      <c r="AN49" s="21"/>
      <c r="AO49" s="19"/>
      <c r="AP49" s="20"/>
      <c r="AQ49" s="20"/>
      <c r="AR49" s="20"/>
      <c r="AS49" s="20"/>
      <c r="AT49" s="210">
        <v>27903.24</v>
      </c>
      <c r="AU49" s="210"/>
      <c r="AV49" s="50"/>
      <c r="AW49" s="51"/>
      <c r="AX49" s="51"/>
      <c r="AY49" s="51"/>
      <c r="AZ49" s="51"/>
      <c r="BA49" s="51">
        <v>0.12</v>
      </c>
      <c r="BB49" s="211"/>
      <c r="BC49" s="50"/>
      <c r="BD49" s="53"/>
      <c r="BE49" s="53"/>
      <c r="BF49" s="53"/>
      <c r="BG49" s="53"/>
      <c r="BH49" s="53"/>
      <c r="BI49" s="212"/>
      <c r="BJ49" s="2"/>
      <c r="BK49" s="55"/>
      <c r="BL49" s="55"/>
      <c r="BM49" s="55"/>
      <c r="BN49" s="55"/>
      <c r="BO49" s="55"/>
      <c r="BP49" s="213"/>
      <c r="BQ49" s="50"/>
      <c r="BR49" s="51"/>
      <c r="BS49" s="51"/>
      <c r="BT49" s="51">
        <f t="shared" ref="BT49:BT50" si="103">W49/P49</f>
        <v>3.9024390243902439E-2</v>
      </c>
      <c r="BU49" s="211"/>
      <c r="BV49" s="409"/>
      <c r="BW49" s="57"/>
    </row>
    <row r="50" spans="1:75" x14ac:dyDescent="0.25">
      <c r="A50" s="12">
        <v>100</v>
      </c>
      <c r="B50" s="17" t="s">
        <v>231</v>
      </c>
      <c r="C50" s="2">
        <v>53</v>
      </c>
      <c r="D50" s="3">
        <v>53</v>
      </c>
      <c r="E50" s="3">
        <v>53</v>
      </c>
      <c r="F50" s="144">
        <v>48</v>
      </c>
      <c r="G50" s="4">
        <v>53</v>
      </c>
      <c r="H50" s="2">
        <v>0</v>
      </c>
      <c r="I50" s="3">
        <v>0</v>
      </c>
      <c r="J50" s="3">
        <v>0</v>
      </c>
      <c r="K50" s="144">
        <v>1</v>
      </c>
      <c r="L50" s="4">
        <v>0</v>
      </c>
      <c r="M50" s="2">
        <v>478</v>
      </c>
      <c r="N50" s="3">
        <v>453</v>
      </c>
      <c r="O50" s="3">
        <v>308</v>
      </c>
      <c r="P50" s="144">
        <v>702</v>
      </c>
      <c r="Q50" s="4">
        <v>408</v>
      </c>
      <c r="R50" s="2">
        <v>31</v>
      </c>
      <c r="S50" s="3">
        <v>25</v>
      </c>
      <c r="T50" s="3">
        <v>32</v>
      </c>
      <c r="U50" s="3">
        <v>36</v>
      </c>
      <c r="V50" s="3">
        <v>40</v>
      </c>
      <c r="W50" s="144">
        <v>102</v>
      </c>
      <c r="X50" s="4">
        <v>89</v>
      </c>
      <c r="Y50" s="2">
        <v>24.68</v>
      </c>
      <c r="Z50" s="3">
        <v>26.79</v>
      </c>
      <c r="AA50" s="3">
        <v>32.21</v>
      </c>
      <c r="AB50" s="144">
        <v>33.479999999999997</v>
      </c>
      <c r="AC50" s="3">
        <v>31.45</v>
      </c>
      <c r="AD50" s="148"/>
      <c r="AE50" s="3"/>
      <c r="AF50" s="153">
        <v>39.67</v>
      </c>
      <c r="AG50" s="86">
        <v>35.42</v>
      </c>
      <c r="AH50" s="19">
        <v>370600.93</v>
      </c>
      <c r="AI50" s="20">
        <v>370707.85</v>
      </c>
      <c r="AJ50" s="20">
        <v>460787.94</v>
      </c>
      <c r="AK50" s="20">
        <v>578041.53</v>
      </c>
      <c r="AL50" s="20">
        <v>540965.88</v>
      </c>
      <c r="AM50" s="210">
        <v>587479</v>
      </c>
      <c r="AN50" s="21">
        <v>521172</v>
      </c>
      <c r="AO50" s="19"/>
      <c r="AP50" s="20"/>
      <c r="AQ50" s="20">
        <v>66169</v>
      </c>
      <c r="AR50" s="20">
        <v>178960</v>
      </c>
      <c r="AS50" s="20">
        <v>96896</v>
      </c>
      <c r="AT50" s="210">
        <v>98915</v>
      </c>
      <c r="AU50" s="21">
        <v>39005</v>
      </c>
      <c r="AV50" s="278"/>
      <c r="AW50" s="123"/>
      <c r="AX50" s="51">
        <f t="shared" ref="AX50:BA50" si="104">AQ50/AJ50</f>
        <v>0.14359967841172233</v>
      </c>
      <c r="AY50" s="51">
        <f t="shared" si="104"/>
        <v>0.30959713223373414</v>
      </c>
      <c r="AZ50" s="51">
        <f t="shared" si="104"/>
        <v>0.1791166570431392</v>
      </c>
      <c r="BA50" s="211">
        <f t="shared" si="104"/>
        <v>0.16837197584934951</v>
      </c>
      <c r="BB50" s="52">
        <f t="shared" si="5"/>
        <v>7.4840935430145902E-2</v>
      </c>
      <c r="BC50" s="50" t="s">
        <v>226</v>
      </c>
      <c r="BD50" s="53"/>
      <c r="BE50" s="53"/>
      <c r="BF50" s="53"/>
      <c r="BG50" s="53"/>
      <c r="BH50" s="212"/>
      <c r="BI50" s="54"/>
      <c r="BJ50" s="2" t="s">
        <v>226</v>
      </c>
      <c r="BK50" s="55">
        <f t="shared" ref="BK50:BO50" si="105">(AW50-AV50)*100</f>
        <v>0</v>
      </c>
      <c r="BL50" s="55">
        <f t="shared" si="105"/>
        <v>14.359967841172233</v>
      </c>
      <c r="BM50" s="55">
        <f t="shared" si="105"/>
        <v>16.599745382201181</v>
      </c>
      <c r="BN50" s="55">
        <f t="shared" si="105"/>
        <v>-13.048047519059494</v>
      </c>
      <c r="BO50" s="213">
        <f t="shared" si="105"/>
        <v>-1.0744681193789685</v>
      </c>
      <c r="BP50" s="56">
        <f t="shared" si="38"/>
        <v>-9.3531040419203606</v>
      </c>
      <c r="BQ50" s="50">
        <f t="shared" ref="BQ50:BS50" si="106">T50/M50</f>
        <v>6.6945606694560664E-2</v>
      </c>
      <c r="BR50" s="51">
        <f t="shared" si="106"/>
        <v>7.9470198675496692E-2</v>
      </c>
      <c r="BS50" s="51">
        <f t="shared" si="106"/>
        <v>0.12987012987012986</v>
      </c>
      <c r="BT50" s="211">
        <f t="shared" si="103"/>
        <v>0.14529914529914531</v>
      </c>
      <c r="BU50" s="52">
        <f t="shared" si="30"/>
        <v>0.21813725490196079</v>
      </c>
      <c r="BV50" s="410">
        <f t="shared" si="39"/>
        <v>-0.10713385429795814</v>
      </c>
      <c r="BW50" s="57">
        <f t="shared" si="16"/>
        <v>-0.41880341880341881</v>
      </c>
    </row>
    <row r="51" spans="1:75" x14ac:dyDescent="0.25">
      <c r="A51" s="12">
        <v>105</v>
      </c>
      <c r="B51" s="17" t="s">
        <v>110</v>
      </c>
      <c r="C51" s="2">
        <v>18</v>
      </c>
      <c r="D51" s="3">
        <v>18</v>
      </c>
      <c r="E51" s="3">
        <v>17</v>
      </c>
      <c r="F51" s="3">
        <v>13</v>
      </c>
      <c r="G51" s="144"/>
      <c r="H51" s="2">
        <v>519</v>
      </c>
      <c r="I51" s="3">
        <v>616</v>
      </c>
      <c r="J51" s="3">
        <v>508</v>
      </c>
      <c r="K51" s="3">
        <v>0</v>
      </c>
      <c r="L51" s="4"/>
      <c r="M51" s="2">
        <v>144</v>
      </c>
      <c r="N51" s="3">
        <v>241</v>
      </c>
      <c r="O51" s="3">
        <v>257</v>
      </c>
      <c r="P51" s="144">
        <v>252</v>
      </c>
      <c r="Q51" s="4"/>
      <c r="R51" s="2">
        <v>2</v>
      </c>
      <c r="S51" s="3">
        <v>5</v>
      </c>
      <c r="T51" s="3">
        <v>3</v>
      </c>
      <c r="U51" s="3">
        <v>4</v>
      </c>
      <c r="V51" s="3">
        <v>6</v>
      </c>
      <c r="W51" s="144">
        <v>4</v>
      </c>
      <c r="X51" s="4"/>
      <c r="Y51" s="5">
        <f>(19.84+17.4+21.42)/3</f>
        <v>19.553333333333331</v>
      </c>
      <c r="Z51" s="49">
        <f>(19.84+21.42)/2</f>
        <v>20.630000000000003</v>
      </c>
      <c r="AA51" s="49">
        <f>(38.47+35.81)/2</f>
        <v>37.14</v>
      </c>
      <c r="AB51" s="153">
        <f>(38.47+35.81)/2</f>
        <v>37.14</v>
      </c>
      <c r="AC51" s="49">
        <f>(38.47+35.81)/2</f>
        <v>37.14</v>
      </c>
      <c r="AD51" s="149"/>
      <c r="AE51" s="49"/>
      <c r="AF51" s="49">
        <v>38.47</v>
      </c>
      <c r="AG51" s="86"/>
      <c r="AH51" s="19"/>
      <c r="AI51" s="20">
        <f>15238+9903</f>
        <v>25141</v>
      </c>
      <c r="AJ51" s="20">
        <f>61172+10651</f>
        <v>71823</v>
      </c>
      <c r="AK51" s="20">
        <f>95832+16152</f>
        <v>111984</v>
      </c>
      <c r="AL51" s="20">
        <f>80804+16870</f>
        <v>97674</v>
      </c>
      <c r="AM51" s="210">
        <v>99672</v>
      </c>
      <c r="AN51" s="21"/>
      <c r="AO51" s="19"/>
      <c r="AP51" s="20">
        <f>4269+1409</f>
        <v>5678</v>
      </c>
      <c r="AQ51" s="20">
        <f>10103+1321</f>
        <v>11424</v>
      </c>
      <c r="AR51" s="20">
        <f>33645+1033</f>
        <v>34678</v>
      </c>
      <c r="AS51" s="20">
        <f>51879+1306</f>
        <v>53185</v>
      </c>
      <c r="AT51" s="210">
        <v>18844</v>
      </c>
      <c r="AU51" s="210"/>
      <c r="AV51" s="50"/>
      <c r="AW51" s="51">
        <f t="shared" ref="AW51:AZ52" si="107">AP51/AI51</f>
        <v>0.22584622727815123</v>
      </c>
      <c r="AX51" s="51">
        <f t="shared" si="107"/>
        <v>0.15905768347186836</v>
      </c>
      <c r="AY51" s="51">
        <f t="shared" si="107"/>
        <v>0.3096692384626375</v>
      </c>
      <c r="AZ51" s="51">
        <f t="shared" si="107"/>
        <v>0.54451542887564752</v>
      </c>
      <c r="BA51" s="51">
        <v>0.19</v>
      </c>
      <c r="BB51" s="211"/>
      <c r="BC51" s="50" t="s">
        <v>226</v>
      </c>
      <c r="BD51" s="53"/>
      <c r="BE51" s="53"/>
      <c r="BF51" s="53"/>
      <c r="BG51" s="53"/>
      <c r="BH51" s="53"/>
      <c r="BI51" s="212"/>
      <c r="BJ51" s="2" t="s">
        <v>226</v>
      </c>
      <c r="BK51" s="55"/>
      <c r="BL51" s="55">
        <f>(AX51-AW51)*100</f>
        <v>-6.6788543806282883</v>
      </c>
      <c r="BM51" s="55">
        <f>(AY51-AX51)*100</f>
        <v>15.061155499076914</v>
      </c>
      <c r="BN51" s="55">
        <f>(AZ51-AY51)*100</f>
        <v>23.484619041301002</v>
      </c>
      <c r="BO51" s="55">
        <f>(BA51-AZ51)*100</f>
        <v>-35.451542887564749</v>
      </c>
      <c r="BP51" s="213"/>
      <c r="BQ51" s="50">
        <f>T51/M51</f>
        <v>2.0833333333333332E-2</v>
      </c>
      <c r="BR51" s="51">
        <f>U51/N51</f>
        <v>1.6597510373443983E-2</v>
      </c>
      <c r="BS51" s="51">
        <f>V51/O51</f>
        <v>2.3346303501945526E-2</v>
      </c>
      <c r="BT51" s="51">
        <f>W51/P51</f>
        <v>1.5873015873015872E-2</v>
      </c>
      <c r="BU51" s="211"/>
      <c r="BV51" s="409"/>
      <c r="BW51" s="57"/>
    </row>
    <row r="52" spans="1:75" x14ac:dyDescent="0.25">
      <c r="A52" s="12">
        <v>106</v>
      </c>
      <c r="B52" s="17" t="s">
        <v>62</v>
      </c>
      <c r="C52" s="2">
        <v>18</v>
      </c>
      <c r="D52" s="3">
        <v>18</v>
      </c>
      <c r="E52" s="3">
        <v>18</v>
      </c>
      <c r="F52" s="144"/>
      <c r="G52" s="4">
        <v>0</v>
      </c>
      <c r="H52" s="2">
        <v>822</v>
      </c>
      <c r="I52" s="3">
        <v>815</v>
      </c>
      <c r="J52" s="3">
        <v>827</v>
      </c>
      <c r="K52" s="144"/>
      <c r="L52" s="4">
        <v>871</v>
      </c>
      <c r="M52" s="2">
        <v>256</v>
      </c>
      <c r="N52" s="3">
        <v>297</v>
      </c>
      <c r="O52" s="3">
        <v>320</v>
      </c>
      <c r="P52" s="144"/>
      <c r="Q52" s="4">
        <v>345</v>
      </c>
      <c r="R52" s="2">
        <v>9</v>
      </c>
      <c r="S52" s="3">
        <v>13</v>
      </c>
      <c r="T52" s="3">
        <v>11</v>
      </c>
      <c r="U52" s="3">
        <v>0</v>
      </c>
      <c r="V52" s="3">
        <v>15</v>
      </c>
      <c r="W52" s="144"/>
      <c r="X52" s="4">
        <v>1</v>
      </c>
      <c r="Y52" s="2">
        <v>16.73</v>
      </c>
      <c r="Z52" s="3">
        <v>16.73</v>
      </c>
      <c r="AA52" s="3">
        <v>22.43</v>
      </c>
      <c r="AB52" s="144">
        <v>28.62</v>
      </c>
      <c r="AC52" s="3">
        <v>28.62</v>
      </c>
      <c r="AD52" s="148"/>
      <c r="AE52" s="3"/>
      <c r="AF52" s="153"/>
      <c r="AG52" s="3">
        <v>28.62</v>
      </c>
      <c r="AH52" s="19">
        <v>54808</v>
      </c>
      <c r="AI52" s="20">
        <v>55604</v>
      </c>
      <c r="AJ52" s="20">
        <v>66893</v>
      </c>
      <c r="AK52" s="20">
        <v>95458</v>
      </c>
      <c r="AL52" s="20">
        <v>109099</v>
      </c>
      <c r="AM52" s="210"/>
      <c r="AN52" s="21">
        <v>114733</v>
      </c>
      <c r="AO52" s="19">
        <v>24473</v>
      </c>
      <c r="AP52" s="20">
        <v>18307</v>
      </c>
      <c r="AQ52" s="20">
        <v>20853</v>
      </c>
      <c r="AR52" s="20">
        <v>34763</v>
      </c>
      <c r="AS52" s="20">
        <v>42205</v>
      </c>
      <c r="AT52" s="210"/>
      <c r="AU52" s="21">
        <v>15244</v>
      </c>
      <c r="AV52" s="50">
        <f t="shared" ref="AV52" si="108">AO52/AH52</f>
        <v>0.4465224054882499</v>
      </c>
      <c r="AW52" s="51">
        <f t="shared" si="107"/>
        <v>0.32923890367599451</v>
      </c>
      <c r="AX52" s="51">
        <f t="shared" si="107"/>
        <v>0.3117366540594681</v>
      </c>
      <c r="AY52" s="51">
        <f t="shared" si="107"/>
        <v>0.36417063001529471</v>
      </c>
      <c r="AZ52" s="51">
        <f t="shared" si="107"/>
        <v>0.38685047525641847</v>
      </c>
      <c r="BA52" s="211"/>
      <c r="BB52" s="52">
        <f t="shared" si="5"/>
        <v>0.13286499960778503</v>
      </c>
      <c r="BC52" s="50" t="s">
        <v>226</v>
      </c>
      <c r="BD52" s="53">
        <f t="shared" ref="BD52:BG52" si="109">(AW52-$AV52)*100</f>
        <v>-11.728350181225538</v>
      </c>
      <c r="BE52" s="53">
        <f t="shared" si="109"/>
        <v>-13.47857514287818</v>
      </c>
      <c r="BF52" s="53">
        <f t="shared" si="109"/>
        <v>-8.2351775472955193</v>
      </c>
      <c r="BG52" s="53">
        <f t="shared" si="109"/>
        <v>-5.9671930231831425</v>
      </c>
      <c r="BH52" s="212"/>
      <c r="BI52" s="54">
        <f t="shared" si="40"/>
        <v>-31.365740588046485</v>
      </c>
      <c r="BJ52" s="2" t="s">
        <v>226</v>
      </c>
      <c r="BK52" s="55">
        <f t="shared" ref="BK52:BN52" si="110">(AW52-AV52)*100</f>
        <v>-11.728350181225538</v>
      </c>
      <c r="BL52" s="55">
        <f t="shared" si="110"/>
        <v>-1.7502249616526411</v>
      </c>
      <c r="BM52" s="55">
        <f t="shared" si="110"/>
        <v>5.2433975955826604</v>
      </c>
      <c r="BN52" s="55">
        <f t="shared" si="110"/>
        <v>2.2679845241123764</v>
      </c>
      <c r="BO52" s="213"/>
      <c r="BP52" s="56"/>
      <c r="BQ52" s="50">
        <f t="shared" ref="BQ52:BS52" si="111">T52/M52</f>
        <v>4.296875E-2</v>
      </c>
      <c r="BR52" s="51">
        <f t="shared" si="111"/>
        <v>0</v>
      </c>
      <c r="BS52" s="51">
        <f t="shared" si="111"/>
        <v>4.6875E-2</v>
      </c>
      <c r="BT52" s="211"/>
      <c r="BU52" s="52">
        <f t="shared" si="30"/>
        <v>2.8985507246376812E-3</v>
      </c>
      <c r="BV52" s="410"/>
      <c r="BW52" s="57"/>
    </row>
    <row r="53" spans="1:75" x14ac:dyDescent="0.25">
      <c r="A53" s="12">
        <v>106</v>
      </c>
      <c r="B53" s="17" t="s">
        <v>202</v>
      </c>
      <c r="C53" s="2">
        <v>0</v>
      </c>
      <c r="D53" s="3">
        <v>3</v>
      </c>
      <c r="E53" s="3">
        <v>3</v>
      </c>
      <c r="F53" s="3"/>
      <c r="G53" s="144"/>
      <c r="H53" s="2"/>
      <c r="I53" s="3">
        <v>110</v>
      </c>
      <c r="J53" s="3">
        <v>110</v>
      </c>
      <c r="K53" s="3"/>
      <c r="L53" s="4"/>
      <c r="M53" s="2">
        <v>0</v>
      </c>
      <c r="N53" s="3">
        <v>0</v>
      </c>
      <c r="O53" s="144">
        <v>62</v>
      </c>
      <c r="P53" s="144"/>
      <c r="Q53" s="4"/>
      <c r="R53" s="2">
        <v>0</v>
      </c>
      <c r="S53" s="3">
        <v>0</v>
      </c>
      <c r="T53" s="3">
        <v>0</v>
      </c>
      <c r="U53" s="3">
        <v>0</v>
      </c>
      <c r="V53" s="144">
        <v>0</v>
      </c>
      <c r="W53" s="144"/>
      <c r="X53" s="4"/>
      <c r="Y53" s="2"/>
      <c r="Z53" s="3"/>
      <c r="AA53" s="3"/>
      <c r="AB53" s="3">
        <v>38.22</v>
      </c>
      <c r="AC53" s="49">
        <v>29</v>
      </c>
      <c r="AD53" s="149"/>
      <c r="AE53" s="87"/>
      <c r="AF53" s="49"/>
      <c r="AG53" s="86"/>
      <c r="AH53" s="19"/>
      <c r="AI53" s="20"/>
      <c r="AJ53" s="20"/>
      <c r="AK53" s="20"/>
      <c r="AL53" s="210">
        <v>22155</v>
      </c>
      <c r="AM53" s="210"/>
      <c r="AN53" s="21"/>
      <c r="AO53" s="19"/>
      <c r="AP53" s="20"/>
      <c r="AQ53" s="20"/>
      <c r="AR53" s="20"/>
      <c r="AS53" s="210">
        <v>7014</v>
      </c>
      <c r="AT53" s="210"/>
      <c r="AU53" s="210"/>
      <c r="AV53" s="50"/>
      <c r="AW53" s="51"/>
      <c r="AX53" s="51"/>
      <c r="AY53" s="51"/>
      <c r="AZ53" s="51">
        <f>AS53/AL53</f>
        <v>0.31658767772511848</v>
      </c>
      <c r="BA53" s="51"/>
      <c r="BB53" s="211"/>
      <c r="BC53" s="50" t="s">
        <v>226</v>
      </c>
      <c r="BD53" s="53"/>
      <c r="BE53" s="53"/>
      <c r="BF53" s="53"/>
      <c r="BG53" s="53"/>
      <c r="BH53" s="53"/>
      <c r="BI53" s="212"/>
      <c r="BJ53" s="2" t="s">
        <v>226</v>
      </c>
      <c r="BK53" s="55"/>
      <c r="BL53" s="55"/>
      <c r="BM53" s="55"/>
      <c r="BN53" s="55"/>
      <c r="BO53" s="55"/>
      <c r="BP53" s="213"/>
      <c r="BQ53" s="50"/>
      <c r="BR53" s="51"/>
      <c r="BS53" s="51">
        <f>V53/O53</f>
        <v>0</v>
      </c>
      <c r="BT53" s="51"/>
      <c r="BU53" s="211"/>
      <c r="BV53" s="409"/>
      <c r="BW53" s="57"/>
    </row>
    <row r="54" spans="1:75" ht="15.75" thickBot="1" x14ac:dyDescent="0.3">
      <c r="A54" s="12">
        <v>108</v>
      </c>
      <c r="B54" s="17" t="s">
        <v>63</v>
      </c>
      <c r="C54" s="323">
        <v>0</v>
      </c>
      <c r="D54" s="381">
        <v>0</v>
      </c>
      <c r="E54" s="381">
        <v>0</v>
      </c>
      <c r="F54" s="382">
        <v>0</v>
      </c>
      <c r="G54" s="383">
        <v>0</v>
      </c>
      <c r="H54" s="323">
        <v>836</v>
      </c>
      <c r="I54" s="381">
        <v>836</v>
      </c>
      <c r="J54" s="381">
        <v>836</v>
      </c>
      <c r="K54" s="382">
        <v>836</v>
      </c>
      <c r="L54" s="383">
        <v>837</v>
      </c>
      <c r="M54" s="323">
        <v>98</v>
      </c>
      <c r="N54" s="381">
        <v>185</v>
      </c>
      <c r="O54" s="381">
        <v>389</v>
      </c>
      <c r="P54" s="382">
        <v>407</v>
      </c>
      <c r="Q54" s="383">
        <v>399</v>
      </c>
      <c r="R54" s="323">
        <v>0</v>
      </c>
      <c r="S54" s="381">
        <v>0</v>
      </c>
      <c r="T54" s="381">
        <v>4</v>
      </c>
      <c r="U54" s="381">
        <v>0</v>
      </c>
      <c r="V54" s="381">
        <v>1</v>
      </c>
      <c r="W54" s="382">
        <v>0</v>
      </c>
      <c r="X54" s="383">
        <v>0</v>
      </c>
      <c r="Y54" s="323">
        <v>17.87</v>
      </c>
      <c r="Z54" s="381">
        <v>23.23</v>
      </c>
      <c r="AA54" s="381">
        <v>32.43</v>
      </c>
      <c r="AB54" s="382">
        <v>32.43</v>
      </c>
      <c r="AC54" s="381">
        <v>32.43</v>
      </c>
      <c r="AD54" s="384"/>
      <c r="AE54" s="381"/>
      <c r="AF54" s="385">
        <v>32.43</v>
      </c>
      <c r="AG54" s="386">
        <v>32.43</v>
      </c>
      <c r="AH54" s="387">
        <v>98961</v>
      </c>
      <c r="AI54" s="388">
        <v>96250</v>
      </c>
      <c r="AJ54" s="388">
        <v>128360</v>
      </c>
      <c r="AK54" s="388">
        <v>176579</v>
      </c>
      <c r="AL54" s="388">
        <v>171232</v>
      </c>
      <c r="AM54" s="389">
        <v>175242</v>
      </c>
      <c r="AN54" s="390">
        <v>196644</v>
      </c>
      <c r="AO54" s="387">
        <v>3978</v>
      </c>
      <c r="AP54" s="388">
        <v>4840</v>
      </c>
      <c r="AQ54" s="388">
        <v>10735</v>
      </c>
      <c r="AR54" s="388">
        <v>27570</v>
      </c>
      <c r="AS54" s="388">
        <v>55816</v>
      </c>
      <c r="AT54" s="389">
        <v>59258</v>
      </c>
      <c r="AU54" s="390">
        <v>64146</v>
      </c>
      <c r="AV54" s="391">
        <f t="shared" ref="AV54:BA54" si="112">AO54/AH54</f>
        <v>4.0197653621123472E-2</v>
      </c>
      <c r="AW54" s="392">
        <f t="shared" si="112"/>
        <v>5.0285714285714288E-2</v>
      </c>
      <c r="AX54" s="392">
        <f t="shared" si="112"/>
        <v>8.3631972577126831E-2</v>
      </c>
      <c r="AY54" s="392">
        <f t="shared" si="112"/>
        <v>0.15613408162918579</v>
      </c>
      <c r="AZ54" s="392">
        <f t="shared" si="112"/>
        <v>0.32596710895159781</v>
      </c>
      <c r="BA54" s="393">
        <f t="shared" si="112"/>
        <v>0.33814953036372558</v>
      </c>
      <c r="BB54" s="394">
        <f t="shared" si="5"/>
        <v>0.32620369805333493</v>
      </c>
      <c r="BC54" s="391" t="s">
        <v>226</v>
      </c>
      <c r="BD54" s="395">
        <f t="shared" ref="BD54:BH54" si="113">(AW54-$AV54)*100</f>
        <v>1.0088060664590817</v>
      </c>
      <c r="BE54" s="395">
        <f t="shared" si="113"/>
        <v>4.3434318956003359</v>
      </c>
      <c r="BF54" s="395">
        <f t="shared" si="113"/>
        <v>11.593642800806233</v>
      </c>
      <c r="BG54" s="395">
        <f t="shared" si="113"/>
        <v>28.576945533047432</v>
      </c>
      <c r="BH54" s="396">
        <f t="shared" si="113"/>
        <v>29.795187674260209</v>
      </c>
      <c r="BI54" s="397">
        <f t="shared" si="40"/>
        <v>28.600604443221144</v>
      </c>
      <c r="BJ54" s="323" t="s">
        <v>226</v>
      </c>
      <c r="BK54" s="398">
        <f t="shared" ref="BK54:BO54" si="114">(AW54-AV54)*100</f>
        <v>1.0088060664590817</v>
      </c>
      <c r="BL54" s="398">
        <f t="shared" si="114"/>
        <v>3.3346258291412543</v>
      </c>
      <c r="BM54" s="398">
        <f t="shared" si="114"/>
        <v>7.2502109052058961</v>
      </c>
      <c r="BN54" s="398">
        <f t="shared" si="114"/>
        <v>16.983302732241199</v>
      </c>
      <c r="BO54" s="399">
        <f t="shared" si="114"/>
        <v>1.2182421412127775</v>
      </c>
      <c r="BP54" s="400">
        <f t="shared" si="38"/>
        <v>-1.1945832310390647</v>
      </c>
      <c r="BQ54" s="391">
        <f>T54/M54</f>
        <v>4.0816326530612242E-2</v>
      </c>
      <c r="BR54" s="392">
        <f>U54/N54</f>
        <v>0</v>
      </c>
      <c r="BS54" s="392">
        <f>V54/O54</f>
        <v>2.5706940874035988E-3</v>
      </c>
      <c r="BT54" s="393">
        <f t="shared" ref="BT54" si="115">W54/P54</f>
        <v>0</v>
      </c>
      <c r="BU54" s="394">
        <f t="shared" si="30"/>
        <v>0</v>
      </c>
      <c r="BV54" s="411">
        <f t="shared" si="39"/>
        <v>0</v>
      </c>
      <c r="BW54" s="413">
        <f t="shared" ref="BW54" si="116">(Q54-P54)/P54</f>
        <v>-1.9656019656019656E-2</v>
      </c>
    </row>
    <row r="55" spans="1:75" ht="15.75" thickBot="1" x14ac:dyDescent="0.3">
      <c r="A55" s="215"/>
      <c r="B55" s="216" t="s">
        <v>354</v>
      </c>
      <c r="C55" s="215">
        <f t="shared" ref="C55:X55" si="117">SUM(C3:C54)</f>
        <v>1008</v>
      </c>
      <c r="D55" s="215">
        <f t="shared" si="117"/>
        <v>1024</v>
      </c>
      <c r="E55" s="215">
        <f t="shared" si="117"/>
        <v>1031</v>
      </c>
      <c r="F55" s="215">
        <f t="shared" si="117"/>
        <v>624</v>
      </c>
      <c r="G55" s="215">
        <f t="shared" si="117"/>
        <v>763</v>
      </c>
      <c r="H55" s="215">
        <f t="shared" si="117"/>
        <v>67320</v>
      </c>
      <c r="I55" s="401">
        <f t="shared" si="117"/>
        <v>68435</v>
      </c>
      <c r="J55" s="402">
        <f t="shared" si="117"/>
        <v>69015</v>
      </c>
      <c r="K55" s="159">
        <f t="shared" si="117"/>
        <v>65992</v>
      </c>
      <c r="L55" s="159">
        <f t="shared" si="117"/>
        <v>58062</v>
      </c>
      <c r="M55" s="403">
        <f t="shared" si="117"/>
        <v>14283</v>
      </c>
      <c r="N55" s="403">
        <f t="shared" si="117"/>
        <v>19097</v>
      </c>
      <c r="O55" s="403">
        <f t="shared" si="117"/>
        <v>22503</v>
      </c>
      <c r="P55" s="403">
        <f t="shared" si="117"/>
        <v>20994</v>
      </c>
      <c r="Q55" s="403">
        <f t="shared" si="117"/>
        <v>20449</v>
      </c>
      <c r="R55" s="403">
        <f t="shared" si="117"/>
        <v>994</v>
      </c>
      <c r="S55" s="403">
        <f t="shared" si="117"/>
        <v>732</v>
      </c>
      <c r="T55" s="403">
        <f t="shared" si="117"/>
        <v>967</v>
      </c>
      <c r="U55" s="403">
        <f t="shared" si="117"/>
        <v>1788</v>
      </c>
      <c r="V55" s="403">
        <f t="shared" si="117"/>
        <v>1796</v>
      </c>
      <c r="W55" s="403">
        <f t="shared" si="117"/>
        <v>2301</v>
      </c>
      <c r="X55" s="403">
        <f t="shared" si="117"/>
        <v>1669</v>
      </c>
      <c r="Y55" s="215"/>
      <c r="Z55" s="215"/>
      <c r="AA55" s="215"/>
      <c r="AB55" s="215"/>
      <c r="AC55" s="215"/>
      <c r="AD55" s="215"/>
      <c r="AE55" s="215"/>
      <c r="AF55" s="232"/>
      <c r="AG55" s="232"/>
      <c r="AH55" s="404">
        <f t="shared" ref="AH55:AU55" si="118">SUM(AH3:AH54)</f>
        <v>12178263.870000001</v>
      </c>
      <c r="AI55" s="404">
        <f t="shared" si="118"/>
        <v>15301551.43</v>
      </c>
      <c r="AJ55" s="405">
        <f t="shared" si="118"/>
        <v>19679007.949999999</v>
      </c>
      <c r="AK55" s="406">
        <f t="shared" si="118"/>
        <v>26175408.699999999</v>
      </c>
      <c r="AL55" s="407">
        <f t="shared" si="118"/>
        <v>29007594.789999999</v>
      </c>
      <c r="AM55" s="403">
        <f t="shared" si="118"/>
        <v>25178467.374000002</v>
      </c>
      <c r="AN55" s="403">
        <f t="shared" si="118"/>
        <v>25206235.440000001</v>
      </c>
      <c r="AO55" s="403">
        <f t="shared" si="118"/>
        <v>1332859.56</v>
      </c>
      <c r="AP55" s="403">
        <f t="shared" si="118"/>
        <v>1293065.83</v>
      </c>
      <c r="AQ55" s="403">
        <f t="shared" si="118"/>
        <v>1804643.45</v>
      </c>
      <c r="AR55" s="403">
        <f t="shared" si="118"/>
        <v>3807701.3600000003</v>
      </c>
      <c r="AS55" s="403">
        <f t="shared" si="118"/>
        <v>4503560.4400000004</v>
      </c>
      <c r="AT55" s="403">
        <f t="shared" si="118"/>
        <v>4172417.727</v>
      </c>
      <c r="AU55" s="403">
        <f t="shared" si="118"/>
        <v>4286147.7799999993</v>
      </c>
      <c r="AV55" s="111"/>
      <c r="AW55" s="111"/>
      <c r="AX55" s="111"/>
      <c r="AY55" s="111"/>
      <c r="AZ55" s="111"/>
      <c r="BA55" s="111"/>
      <c r="BB55" s="111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1"/>
      <c r="BR55" s="111"/>
      <c r="BS55" s="111"/>
      <c r="BT55" s="111"/>
      <c r="BU55" s="111"/>
      <c r="BV55" s="111"/>
      <c r="BW55" s="111"/>
    </row>
    <row r="56" spans="1:75" ht="15.75" thickBot="1" x14ac:dyDescent="0.3">
      <c r="A56" s="217"/>
      <c r="B56" s="218" t="s">
        <v>363</v>
      </c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9">
        <f t="shared" ref="M56:BB56" si="119">AVERAGE(M3:M54)</f>
        <v>366.23076923076923</v>
      </c>
      <c r="N56" s="219">
        <f t="shared" si="119"/>
        <v>465.78048780487802</v>
      </c>
      <c r="O56" s="219">
        <f t="shared" si="119"/>
        <v>523.32558139534888</v>
      </c>
      <c r="P56" s="219">
        <f t="shared" si="119"/>
        <v>567.40540540540542</v>
      </c>
      <c r="Q56" s="219">
        <f t="shared" si="119"/>
        <v>538.13157894736844</v>
      </c>
      <c r="R56" s="219">
        <f t="shared" si="119"/>
        <v>24.243902439024389</v>
      </c>
      <c r="S56" s="219">
        <f t="shared" si="119"/>
        <v>17.853658536585368</v>
      </c>
      <c r="T56" s="219">
        <f t="shared" si="119"/>
        <v>23.585365853658537</v>
      </c>
      <c r="U56" s="219">
        <f t="shared" si="119"/>
        <v>40.636363636363633</v>
      </c>
      <c r="V56" s="219">
        <f t="shared" si="119"/>
        <v>41.767441860465119</v>
      </c>
      <c r="W56" s="219">
        <f t="shared" si="119"/>
        <v>62.189189189189186</v>
      </c>
      <c r="X56" s="219">
        <f t="shared" si="119"/>
        <v>43.921052631578945</v>
      </c>
      <c r="Y56" s="232">
        <f t="shared" si="119"/>
        <v>23.668513513513513</v>
      </c>
      <c r="Z56" s="232">
        <f t="shared" si="119"/>
        <v>26.911898148148154</v>
      </c>
      <c r="AA56" s="232">
        <f t="shared" si="119"/>
        <v>34.375870370370379</v>
      </c>
      <c r="AB56" s="232">
        <f t="shared" si="119"/>
        <v>38.065630630630643</v>
      </c>
      <c r="AC56" s="232">
        <f t="shared" si="119"/>
        <v>36.497639639639644</v>
      </c>
      <c r="AD56" s="232">
        <f t="shared" si="119"/>
        <v>0.79</v>
      </c>
      <c r="AE56" s="232">
        <f t="shared" si="119"/>
        <v>0.98</v>
      </c>
      <c r="AF56" s="232">
        <f t="shared" si="119"/>
        <v>38.257916666666681</v>
      </c>
      <c r="AG56" s="232">
        <f t="shared" si="119"/>
        <v>38.974473684210523</v>
      </c>
      <c r="AH56" s="219">
        <f t="shared" si="119"/>
        <v>329142.26675675681</v>
      </c>
      <c r="AI56" s="219">
        <f t="shared" si="119"/>
        <v>392347.47256410256</v>
      </c>
      <c r="AJ56" s="219">
        <f t="shared" si="119"/>
        <v>504589.94743589743</v>
      </c>
      <c r="AK56" s="219">
        <f t="shared" si="119"/>
        <v>654385.21750000003</v>
      </c>
      <c r="AL56" s="219">
        <f t="shared" si="119"/>
        <v>659263.51795454544</v>
      </c>
      <c r="AM56" s="219">
        <f t="shared" si="119"/>
        <v>680499.11821621621</v>
      </c>
      <c r="AN56" s="219">
        <f t="shared" si="119"/>
        <v>663321.98526315799</v>
      </c>
      <c r="AO56" s="219">
        <f t="shared" si="119"/>
        <v>37023.876666666671</v>
      </c>
      <c r="AP56" s="219">
        <f t="shared" si="119"/>
        <v>34028.048157894737</v>
      </c>
      <c r="AQ56" s="219">
        <f t="shared" si="119"/>
        <v>46272.908974358972</v>
      </c>
      <c r="AR56" s="219">
        <f t="shared" si="119"/>
        <v>95192.534000000014</v>
      </c>
      <c r="AS56" s="219">
        <f t="shared" si="119"/>
        <v>102353.64636363638</v>
      </c>
      <c r="AT56" s="219">
        <f t="shared" si="119"/>
        <v>112768.04667567568</v>
      </c>
      <c r="AU56" s="219">
        <f t="shared" si="119"/>
        <v>112793.36263157893</v>
      </c>
      <c r="AV56" s="111">
        <f t="shared" si="119"/>
        <v>0.11927470929202331</v>
      </c>
      <c r="AW56" s="111">
        <f t="shared" si="119"/>
        <v>0.10861228534399441</v>
      </c>
      <c r="AX56" s="111">
        <f t="shared" si="119"/>
        <v>0.11734133487704308</v>
      </c>
      <c r="AY56" s="111">
        <f t="shared" si="119"/>
        <v>0.15569600706102277</v>
      </c>
      <c r="AZ56" s="111">
        <f t="shared" si="119"/>
        <v>0.19286631494595999</v>
      </c>
      <c r="BA56" s="111">
        <f t="shared" si="119"/>
        <v>0.17508108208630319</v>
      </c>
      <c r="BB56" s="111">
        <f t="shared" si="119"/>
        <v>0.17564468177264395</v>
      </c>
      <c r="BC56" s="217"/>
      <c r="BD56" s="110">
        <f t="shared" ref="BD56:BI56" si="120">AVERAGE(BD3:BD54)</f>
        <v>-1.1770207344393884</v>
      </c>
      <c r="BE56" s="110">
        <f t="shared" si="120"/>
        <v>-0.16196669710589884</v>
      </c>
      <c r="BF56" s="110">
        <f t="shared" si="120"/>
        <v>3.0116024530053949</v>
      </c>
      <c r="BG56" s="110">
        <f t="shared" si="120"/>
        <v>6.9586188237862361</v>
      </c>
      <c r="BH56" s="110">
        <f t="shared" si="120"/>
        <v>6.2447628130377675</v>
      </c>
      <c r="BI56" s="110">
        <f t="shared" si="120"/>
        <v>3.6632551772736175</v>
      </c>
      <c r="BJ56" s="217"/>
      <c r="BK56" s="110">
        <f t="shared" ref="BK56:BQ56" si="121">AVERAGE(BK3:BK54)</f>
        <v>-1.1452093632383238</v>
      </c>
      <c r="BL56" s="110">
        <f t="shared" si="121"/>
        <v>1.1513979926484474</v>
      </c>
      <c r="BM56" s="110">
        <f t="shared" si="121"/>
        <v>3.8354672183979677</v>
      </c>
      <c r="BN56" s="110">
        <f t="shared" si="121"/>
        <v>4.0388499053848506</v>
      </c>
      <c r="BO56" s="110">
        <f t="shared" si="121"/>
        <v>-1.2860902308917077</v>
      </c>
      <c r="BP56" s="110">
        <f t="shared" si="121"/>
        <v>-1.0469196888755152</v>
      </c>
      <c r="BQ56" s="339">
        <f t="shared" si="121"/>
        <v>0.15860972882295213</v>
      </c>
      <c r="BR56" s="339">
        <f t="shared" ref="BR56:BU56" si="122">AVERAGE(BR3:BR54)</f>
        <v>0.13885503913788114</v>
      </c>
      <c r="BS56" s="339">
        <f t="shared" si="122"/>
        <v>0.11259513370535204</v>
      </c>
      <c r="BT56" s="339">
        <f t="shared" si="122"/>
        <v>0.12763444641318872</v>
      </c>
      <c r="BU56" s="339">
        <f t="shared" si="122"/>
        <v>9.5575769422275678E-2</v>
      </c>
      <c r="BV56" s="217"/>
      <c r="BW56" s="217"/>
    </row>
    <row r="57" spans="1:75" ht="18" x14ac:dyDescent="0.25">
      <c r="B57" s="132"/>
    </row>
    <row r="58" spans="1:75" x14ac:dyDescent="0.25">
      <c r="Q58" s="340"/>
      <c r="AG58" s="340"/>
      <c r="AU58" s="340"/>
    </row>
  </sheetData>
  <mergeCells count="14">
    <mergeCell ref="BV1:BV2"/>
    <mergeCell ref="BW1:BW2"/>
    <mergeCell ref="Y1:AG1"/>
    <mergeCell ref="AH1:AN1"/>
    <mergeCell ref="AO1:AU1"/>
    <mergeCell ref="AV1:BB1"/>
    <mergeCell ref="BC1:BI1"/>
    <mergeCell ref="BJ1:BP1"/>
    <mergeCell ref="BQ1:BU1"/>
    <mergeCell ref="A1:B1"/>
    <mergeCell ref="C1:G1"/>
    <mergeCell ref="H1:L1"/>
    <mergeCell ref="M1:Q1"/>
    <mergeCell ref="R1:X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Kopā</vt:lpstr>
      <vt:lpstr>līdz 50</vt:lpstr>
      <vt:lpstr>no 50 līdz 500</vt:lpstr>
      <vt:lpstr>virs 500</vt:lpstr>
      <vt:lpstr>Kopā!Print_Area</vt:lpstr>
      <vt:lpstr>Kopā!Print_Titles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Dati par siltumapgādi novadu pašvaldībās</dc:title>
  <dc:creator>Dace Seile</dc:creator>
  <dc:description>Dace Seile, dace.seile@em.gov.lv
67013030</dc:description>
  <cp:lastModifiedBy>Dace Seile</cp:lastModifiedBy>
  <cp:lastPrinted>2010-10-11T07:41:00Z</cp:lastPrinted>
  <dcterms:created xsi:type="dcterms:W3CDTF">2010-09-28T08:11:11Z</dcterms:created>
  <dcterms:modified xsi:type="dcterms:W3CDTF">2012-10-30T11:44:25Z</dcterms:modified>
</cp:coreProperties>
</file>