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FernateA\Desktop\Mājokļu dep\ĪRES MĀJU PROGRAMMA\MKN NOTEIKUMU VERSIJAS\PWC dokumentācija 2.līgums\mājas lapai redakcijas\"/>
    </mc:Choice>
  </mc:AlternateContent>
  <xr:revisionPtr revIDLastSave="0" documentId="8_{5B59EB61-3136-4376-A632-4B888B6385F5}" xr6:coauthVersionLast="47" xr6:coauthVersionMax="47" xr10:uidLastSave="{00000000-0000-0000-0000-000000000000}"/>
  <bookViews>
    <workbookView xWindow="-110" yWindow="-110" windowWidth="19420" windowHeight="10420" tabRatio="599" activeTab="2" xr2:uid="{00000000-000D-0000-FFFF-FFFF00000000}"/>
  </bookViews>
  <sheets>
    <sheet name="Nosaukums" sheetId="2" r:id="rId1"/>
    <sheet name="Galvenie rādītāji" sheetId="9" r:id="rId2"/>
    <sheet name="Pieņēmumi" sheetId="1" r:id="rId3"/>
    <sheet name="Naudas plūsma" sheetId="5" r:id="rId4"/>
    <sheet name="Komp. un pārkomp. tests " sheetId="13" r:id="rId5"/>
    <sheet name="Pamatkapitāla ieguldījumi" sheetId="8" r:id="rId6"/>
    <sheet name="Finansējums" sheetId="6" r:id="rId7"/>
    <sheet name="WACC" sheetId="3" r:id="rId8"/>
    <sheet name="Pnl" sheetId="11" state="hidden" r:id="rId9"/>
    <sheet name="Pamatlīdzekļu nolietojums" sheetId="12" state="hidden" r:id="rId10"/>
  </sheets>
  <externalReferences>
    <externalReference r:id="rId11"/>
    <externalReference r:id="rId12"/>
    <externalReference r:id="rId13"/>
    <externalReference r:id="rId14"/>
  </externalReferences>
  <definedNames>
    <definedName name="____________xx11" hidden="1">{#N/A,#N/A,FALSE,"L taf";#N/A,#N/A,FALSE,"L útr"}</definedName>
    <definedName name="___________xx11" hidden="1">{#N/A,#N/A,FALSE,"L taf";#N/A,#N/A,FALSE,"L útr"}</definedName>
    <definedName name="__________xx11" hidden="1">{#N/A,#N/A,FALSE,"L taf";#N/A,#N/A,FALSE,"L útr"}</definedName>
    <definedName name="_________xx11" hidden="1">{#N/A,#N/A,FALSE,"L taf";#N/A,#N/A,FALSE,"L útr"}</definedName>
    <definedName name="________xx11" hidden="1">{#N/A,#N/A,FALSE,"L taf";#N/A,#N/A,FALSE,"L útr"}</definedName>
    <definedName name="_______xx11" hidden="1">{#N/A,#N/A,FALSE,"L taf";#N/A,#N/A,FALSE,"L útr"}</definedName>
    <definedName name="______xx11" hidden="1">{#N/A,#N/A,FALSE,"L taf";#N/A,#N/A,FALSE,"L útr"}</definedName>
    <definedName name="_____xx11" hidden="1">{#N/A,#N/A,FALSE,"L taf";#N/A,#N/A,FALSE,"L útr"}</definedName>
    <definedName name="____xx11" hidden="1">{#N/A,#N/A,FALSE,"L taf";#N/A,#N/A,FALSE,"L útr"}</definedName>
    <definedName name="___xx11" hidden="1">{#N/A,#N/A,FALSE,"L taf";#N/A,#N/A,FALSE,"L útr"}</definedName>
    <definedName name="__123Graph_ANETPROFIT2" localSheetId="7" hidden="1">#REF!</definedName>
    <definedName name="__123Graph_ANETPROFIT2" hidden="1">#REF!</definedName>
    <definedName name="__123Graph_APROJECT" localSheetId="7" hidden="1">#REF!</definedName>
    <definedName name="__123Graph_APROJECT" hidden="1">#REF!</definedName>
    <definedName name="__123Graph_LBL_ANETPROFIT2" hidden="1">#REF!</definedName>
    <definedName name="__123Graph_LBL_APROJECT" hidden="1">#REF!</definedName>
    <definedName name="__xx11" hidden="1">{#N/A,#N/A,FALSE,"L taf";#N/A,#N/A,FALSE,"L útr"}</definedName>
    <definedName name="_a1" localSheetId="7" hidden="1">{#N/A,#N/A,FALSE,"Virgin Flightdeck"}</definedName>
    <definedName name="_a1" hidden="1">{#N/A,#N/A,FALSE,"Virgin Flightdeck"}</definedName>
    <definedName name="_a10" localSheetId="7" hidden="1">{#N/A,#N/A,FALSE,"Virgin Flightdeck"}</definedName>
    <definedName name="_a10" hidden="1">{#N/A,#N/A,FALSE,"Virgin Flightdeck"}</definedName>
    <definedName name="_a2" localSheetId="7" hidden="1">{#N/A,#N/A,FALSE,"Virgin Flightdeck"}</definedName>
    <definedName name="_a2" hidden="1">{#N/A,#N/A,FALSE,"Virgin Flightdeck"}</definedName>
    <definedName name="_a3" localSheetId="7" hidden="1">{#N/A,#N/A,FALSE,"Virgin Flightdeck"}</definedName>
    <definedName name="_a3" hidden="1">{#N/A,#N/A,FALSE,"Virgin Flightdeck"}</definedName>
    <definedName name="_b2" localSheetId="7" hidden="1">{#N/A,#N/A,FALSE,"Virgin Flightdeck"}</definedName>
    <definedName name="_b2" hidden="1">{#N/A,#N/A,FALSE,"Virgin Flightdeck"}</definedName>
    <definedName name="_b3" localSheetId="7" hidden="1">{#N/A,#N/A,FALSE,"Virgin Flightdeck"}</definedName>
    <definedName name="_b3" hidden="1">{#N/A,#N/A,FALSE,"Virgin Flightdeck"}</definedName>
    <definedName name="_Fill" hidden="1">#REF!</definedName>
    <definedName name="_xlnm._FilterDatabase" localSheetId="7" hidden="1">#REF!</definedName>
    <definedName name="_xlnm._FilterDatabase" hidden="1">#REF!</definedName>
    <definedName name="_h2" localSheetId="7" hidden="1">{#N/A,#N/A,FALSE,"Virgin Flightdeck"}</definedName>
    <definedName name="_h2" hidden="1">{#N/A,#N/A,FALSE,"Virgin Flightdeck"}</definedName>
    <definedName name="_h3" localSheetId="7" hidden="1">{#N/A,#N/A,FALSE,"Virgin Flightdeck"}</definedName>
    <definedName name="_h3" hidden="1">{#N/A,#N/A,FALSE,"Virgin Flightdeck"}</definedName>
    <definedName name="_Key1" localSheetId="7" hidden="1">#REF!</definedName>
    <definedName name="_Key1" hidden="1">#REF!</definedName>
    <definedName name="_Order1" hidden="1">255</definedName>
    <definedName name="_Order2" hidden="1">0</definedName>
    <definedName name="_Sort" localSheetId="7" hidden="1">#REF!</definedName>
    <definedName name="_Sort" hidden="1">#REF!</definedName>
    <definedName name="_v" hidden="1">'[1]IS Summary-96'!$B$12:$AL$30</definedName>
    <definedName name="_wrn2" localSheetId="7" hidden="1">{#N/A,#N/A,FALSE,"Virgin Flightdeck"}</definedName>
    <definedName name="_wrn2" hidden="1">{#N/A,#N/A,FALSE,"Virgin Flightdeck"}</definedName>
    <definedName name="_wrn3" localSheetId="7" hidden="1">{#N/A,#N/A,FALSE,"Virgin Flightdeck"}</definedName>
    <definedName name="_wrn3" hidden="1">{#N/A,#N/A,FALSE,"Virgin Flightdeck"}</definedName>
    <definedName name="_wrn4" localSheetId="7" hidden="1">{#N/A,#N/A,FALSE,"Virgin Flightdeck"}</definedName>
    <definedName name="_wrn4" hidden="1">{#N/A,#N/A,FALSE,"Virgin Flightdeck"}</definedName>
    <definedName name="_xlchart.v5.0" hidden="1">'Galvenie rādītāji'!$A$58:$A$60</definedName>
    <definedName name="_xlchart.v5.1" hidden="1">'Galvenie rādītāji'!$B$58:$B$60</definedName>
    <definedName name="_xx11" hidden="1">{#N/A,#N/A,FALSE,"L taf";#N/A,#N/A,FALSE,"L útr"}</definedName>
    <definedName name="a.." hidden="1">0</definedName>
    <definedName name="a._PR._PS" hidden="1">0</definedName>
    <definedName name="aa" localSheetId="7" hidden="1">{#N/A,#N/A,FALSE,"Virgin Flightdeck"}</definedName>
    <definedName name="aa" hidden="1">{#N/A,#N/A,FALSE,"Virgin Flightdeck"}</definedName>
    <definedName name="ABC" localSheetId="7" hidden="1">{#N/A,#N/A,FALSE,"Virgin Flightdeck"}</definedName>
    <definedName name="ABC" hidden="1">{#N/A,#N/A,FALSE,"Virgin Flightdeck"}</definedName>
    <definedName name="AGEDDATABASE" localSheetId="7" hidden="1">{#N/A,#N/A,FALSE,"970301";#N/A,#N/A,FALSE,"970302";#N/A,#N/A,FALSE,"970303";#N/A,#N/A,FALSE,"970304";#N/A,#N/A,FALSE,"COM1";#N/A,#N/A,FALSE,"COM2"}</definedName>
    <definedName name="AGEDDATABASE" hidden="1">{#N/A,#N/A,FALSE,"970301";#N/A,#N/A,FALSE,"970302";#N/A,#N/A,FALSE,"970303";#N/A,#N/A,FALSE,"970304";#N/A,#N/A,FALSE,"COM1";#N/A,#N/A,FALSE,"COM2"}</definedName>
    <definedName name="ANALSIS._.9511" localSheetId="7" hidden="1">{#N/A,#N/A,FALSE,"ABB HOLDING LTD"}</definedName>
    <definedName name="ANALSIS._.9511" hidden="1">{#N/A,#N/A,FALSE,"ABB HOLDING LTD"}</definedName>
    <definedName name="anscount" hidden="1">1</definedName>
    <definedName name="AS2DocOpenMode" hidden="1">"AS2DocumentEdit"</definedName>
    <definedName name="AS2HasNoAutoHeaderFooter" hidden="1">" "</definedName>
    <definedName name="AS2NamedRange" hidden="1">5</definedName>
    <definedName name="b" localSheetId="7" hidden="1">{#N/A,#N/A,FALSE,"Virgin Flightdeck"}</definedName>
    <definedName name="b" hidden="1">{#N/A,#N/A,FALSE,"Virgin Flightdeck"}</definedName>
    <definedName name="BLPB1" localSheetId="7" hidden="1">'[2]GuidelineCos-IV'!#REF!</definedName>
    <definedName name="BLPB1" hidden="1">'[2]GuidelineCos-IV'!#REF!</definedName>
    <definedName name="BLPH1" localSheetId="7" hidden="1">[2]Data!#REF!</definedName>
    <definedName name="BLPH1" hidden="1">[2]Data!#REF!</definedName>
    <definedName name="BLPH2" localSheetId="7" hidden="1">[2]Data!#REF!</definedName>
    <definedName name="BLPH2" hidden="1">[2]Data!#REF!</definedName>
    <definedName name="BLPH3" localSheetId="7" hidden="1">#REF!</definedName>
    <definedName name="BLPH3" hidden="1">#REF!</definedName>
    <definedName name="BLPH4" localSheetId="7" hidden="1">#REF!</definedName>
    <definedName name="BLPH4" hidden="1">#REF!</definedName>
    <definedName name="BLPH5" localSheetId="7" hidden="1">#REF!</definedName>
    <definedName name="BLPH5" hidden="1">#REF!</definedName>
    <definedName name="BLPH6" hidden="1">#REF!</definedName>
    <definedName name="BLPH7" hidden="1">#REF!</definedName>
    <definedName name="CIQWBGuid" hidden="1">"55846dcc-39e0-4d6d-a652-eac375e49fe1"</definedName>
    <definedName name="Col" localSheetId="7" hidden="1">{#N/A,#N/A,FALSE,"970301";#N/A,#N/A,FALSE,"970302";#N/A,#N/A,FALSE,"970303";#N/A,#N/A,FALSE,"970304";#N/A,#N/A,FALSE,"COM1";#N/A,#N/A,FALSE,"COM2"}</definedName>
    <definedName name="Col" hidden="1">{#N/A,#N/A,FALSE,"970301";#N/A,#N/A,FALSE,"970302";#N/A,#N/A,FALSE,"970303";#N/A,#N/A,FALSE,"970304";#N/A,#N/A,FALSE,"COM1";#N/A,#N/A,FALSE,"COM2"}</definedName>
    <definedName name="Coll" localSheetId="7" hidden="1">{#N/A,#N/A,FALSE,"970301";#N/A,#N/A,FALSE,"970302";#N/A,#N/A,FALSE,"970303";#N/A,#N/A,FALSE,"970304";#N/A,#N/A,FALSE,"COM1";#N/A,#N/A,FALSE,"COM2"}</definedName>
    <definedName name="Coll" hidden="1">{#N/A,#N/A,FALSE,"970301";#N/A,#N/A,FALSE,"970302";#N/A,#N/A,FALSE,"970303";#N/A,#N/A,FALSE,"970304";#N/A,#N/A,FALSE,"COM1";#N/A,#N/A,FALSE,"COM2"}</definedName>
    <definedName name="Company_country">[3]Assumptions!$C$12</definedName>
    <definedName name="Company_name">[3]Assumptions!$C$5</definedName>
    <definedName name="Company_name_info">[3]GPCs_sour!$E$36:$E$60</definedName>
    <definedName name="Countries">'[3]Tax rates'!$B$4:$B$51</definedName>
    <definedName name="Currency_Guid_Comp">[3]Assumptions!$C$30</definedName>
    <definedName name="Currency_stat_fin_dic">[3]Assumptions!$C$23</definedName>
    <definedName name="d" localSheetId="7" hidden="1">{#N/A,#N/A,FALSE,"Virgin Flightdeck"}</definedName>
    <definedName name="d" hidden="1">{#N/A,#N/A,FALSE,"Virgin Flightdeck"}</definedName>
    <definedName name="Damodaran_industry">[3]Assumptions!$C$16</definedName>
    <definedName name="Date_less_1">'[3]Dates and currencies'!$F$13</definedName>
    <definedName name="Date_less_2">'[3]Dates and currencies'!$E$13</definedName>
    <definedName name="Date_less_3">'[3]Dates and currencies'!$D$13</definedName>
    <definedName name="Date_less_4">'[3]Dates and currencies'!$C$13</definedName>
    <definedName name="Date_less_5">'[3]Dates and currencies'!$B$13</definedName>
    <definedName name="DD" localSheetId="7" hidden="1">{#N/A,#N/A,FALSE,"Virgin Flightdeck"}</definedName>
    <definedName name="DD" hidden="1">{#N/A,#N/A,FALSE,"Virgin Flightdeck"}</definedName>
    <definedName name="DDDD" localSheetId="7" hidden="1">{#N/A,#N/A,FALSE,"Virgin Flightdeck"}</definedName>
    <definedName name="DDDD" hidden="1">{#N/A,#N/A,FALSE,"Virgin Flightdeck"}</definedName>
    <definedName name="DDDDDD" localSheetId="7" hidden="1">{#N/A,#N/A,FALSE,"Virgin Flightdeck"}</definedName>
    <definedName name="DDDDDD" hidden="1">{#N/A,#N/A,FALSE,"Virgin Flightdeck"}</definedName>
    <definedName name="ddf" hidden="1">#REF!</definedName>
    <definedName name="dfg" hidden="1">{#N/A,#N/A,FALSE,"F";#N/A,#N/A,FALSE,"E";#N/A,#N/A,FALSE,"S";#N/A,#N/A,FALSE,"Á";#N/A,#N/A,FALSE,"RR";#N/A,#N/A,FALSE,"E1";#N/A,#N/A,FALSE,"E2";#N/A,#N/A,FALSE,"Sj";#N/A,#N/A,FALSE,"R";#N/A,#N/A,FALSE,"Sk"}</definedName>
    <definedName name="ert" localSheetId="7" hidden="1">#REF!</definedName>
    <definedName name="ert" hidden="1">#REF!</definedName>
    <definedName name="EVvar">[3]Lists!$I$15:$I$16</definedName>
    <definedName name="fsdfsd" hidden="1">{#N/A,#N/A,FALSE,"Tsk";#N/A,#N/A,FALSE,"Esk"}</definedName>
    <definedName name="h" localSheetId="7" hidden="1">{#N/A,#N/A,FALSE,"Virgin Flightdeck"}</definedName>
    <definedName name="h" hidden="1">{#N/A,#N/A,FALSE,"Virgin Flightdeck"}</definedName>
    <definedName name="hh" hidden="1">{#N/A,#N/A,FALSE,"5"}</definedName>
    <definedName name="hhhh" hidden="1">{#N/A,#N/A,FALSE,"AÐB";#N/A,#N/A,FALSE,"LOF"}</definedName>
    <definedName name="HTML_CodePage" hidden="1">1252</definedName>
    <definedName name="HTML_Control" localSheetId="7"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3" hidden="1">TRUE</definedName>
    <definedName name="HTML_OBDlg4" hidden="1">TRUE</definedName>
    <definedName name="HTML_OS" hidden="1">1</definedName>
    <definedName name="HTML_PathFile" hidden="1">"u:\MyHTML6.htm"</definedName>
    <definedName name="HTML_PathFileMac" hidden="1">"Macintosh HD:HomePageStuff:New_Home_Page:datafile:ctryprem.html"</definedName>
    <definedName name="HTML_PathTemplate" hidden="1">"C:\WINNT\Profiles\Andrew_Mason\Desktop\MyHTML.htm"</definedName>
    <definedName name="HTML_Title" hidden="1">"Country Risk Premiums"</definedName>
    <definedName name="Include_LTM">[3]Ratios!$D$4</definedName>
    <definedName name="index_beta">[3]Lists!$C$6:$C$20</definedName>
    <definedName name="Industry">[3]Assumptions!$C$15</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44200.2365972222</definedName>
    <definedName name="IQ_NTM">6000</definedName>
    <definedName name="IQ_OPENED55" hidden="1">1</definedName>
    <definedName name="IQ_QTD" hidden="1">750000</definedName>
    <definedName name="IQ_TODAY" hidden="1">0</definedName>
    <definedName name="IQ_WEEK">50000</definedName>
    <definedName name="IQ_YTD">3000</definedName>
    <definedName name="IQ_YTDMONTH" hidden="1">130000</definedName>
    <definedName name="IQRCapIQMarketDataAA13" hidden="1">'[4]CapIQ-MarketData'!$AA$14:$AA$75</definedName>
    <definedName name="IQRCapIQMarketDataAE13" hidden="1">'[4]CapIQ-MarketData'!$AE$14:$AE$75</definedName>
    <definedName name="IQRCapIQMarketDataAI13" hidden="1">'[4]CapIQ-MarketData'!$AI$14:$AI$75</definedName>
    <definedName name="IQRCapIQMarketDataAM13" hidden="1">'[4]CapIQ-MarketData'!$AM$14:$AM$75</definedName>
    <definedName name="IQRCapIQMarketDataC13" hidden="1">'[4]CapIQ-MarketData'!$C$14:$C$75</definedName>
    <definedName name="IQRCapIQMarketDataG13" hidden="1">'[4]CapIQ-MarketData'!$G$14:$G$75</definedName>
    <definedName name="IQRCapIQMarketDataK13" hidden="1">'[4]CapIQ-MarketData'!$K$14:$K$75</definedName>
    <definedName name="IQRCapIQMarketDataO13" hidden="1">'[4]CapIQ-MarketData'!$O$14:$O$75</definedName>
    <definedName name="IQRCapIQMarketDataS13" hidden="1">'[4]CapIQ-MarketData'!$S$14:$S$75</definedName>
    <definedName name="IQRCapIQMarketDataW13" hidden="1">'[4]CapIQ-MarketData'!$W$14:$W$75</definedName>
    <definedName name="kkk" localSheetId="7" hidden="1">{#N/A,#N/A,FALSE,"OffAdvance";#N/A,#N/A,FALSE,"OffExpRprt";#N/A,#N/A,FALSE,"Entertmnt";#N/A,#N/A,FALSE,"Promotion";#N/A,#N/A,FALSE,"Travelling"}</definedName>
    <definedName name="kkk" hidden="1">{#N/A,#N/A,FALSE,"OffAdvance";#N/A,#N/A,FALSE,"OffExpRprt";#N/A,#N/A,FALSE,"Entertmnt";#N/A,#N/A,FALSE,"Promotion";#N/A,#N/A,FALSE,"Travelling"}</definedName>
    <definedName name="lksjfd" hidden="1">{#N/A,#N/A,FALSE,"Forsíða";#N/A,#N/A,FALSE,"Index";#N/A,#N/A,FALSE,"Skýrsla";#N/A,#N/A,FALSE,"Áritun";#N/A,#N/A,FALSE,"----RR";#N/A,#N/A,FALSE,"ER 1";#N/A,#N/A,FALSE,"ER 2";#N/A,#N/A,FALSE,"Sjóðstreymi";#N/A,#N/A,FALSE,"Rs.aðf";#N/A,#N/A,FALSE,"Skýringar"}</definedName>
    <definedName name="LTM">[3]Lists!$L$15:$L$16</definedName>
    <definedName name="m" localSheetId="7" hidden="1">{#N/A,#N/A,FALSE,"Virgin Flightdeck"}</definedName>
    <definedName name="m" hidden="1">{#N/A,#N/A,FALSE,"Virgin Flightdeck"}</definedName>
    <definedName name="mar" localSheetId="7" hidden="1">{#N/A,#N/A,FALSE,"970301";#N/A,#N/A,FALSE,"970302";#N/A,#N/A,FALSE,"970303";#N/A,#N/A,FALSE,"970304";#N/A,#N/A,FALSE,"COM1";#N/A,#N/A,FALSE,"COM2"}</definedName>
    <definedName name="mar" hidden="1">{#N/A,#N/A,FALSE,"970301";#N/A,#N/A,FALSE,"970302";#N/A,#N/A,FALSE,"970303";#N/A,#N/A,FALSE,"970304";#N/A,#N/A,FALSE,"COM1";#N/A,#N/A,FALSE,"COM2"}</definedName>
    <definedName name="nn" hidden="1">{#N/A,#N/A,FALSE,"L taf";#N/A,#N/A,FALSE,"L útr"}</definedName>
    <definedName name="past" localSheetId="7" hidden="1">{"Monthly6Q",#N/A,FALSE,"0614ESL"}</definedName>
    <definedName name="past" hidden="1">{"Monthly6Q",#N/A,FALSE,"0614ESL"}</definedName>
    <definedName name="PD" localSheetId="7" hidden="1">{"Monthly6Q",#N/A,FALSE,"0614ESL"}</definedName>
    <definedName name="PD" hidden="1">{"Monthly6Q",#N/A,FALSE,"0614ESL"}</definedName>
    <definedName name="Period_type_est">[3]Assumptions!$F$34</definedName>
    <definedName name="Period_type_his">[3]Assumptions!$F$33</definedName>
    <definedName name="Q3vsSeg" localSheetId="7" hidden="1">{"Monthly6Q",#N/A,FALSE,"0614ESL"}</definedName>
    <definedName name="Q3vsSeg" hidden="1">{"Monthly6Q",#N/A,FALSE,"0614ESL"}</definedName>
    <definedName name="rgfd" hidden="1">{#N/A,#N/A,FALSE,"5"}</definedName>
    <definedName name="rrr" hidden="1">{#N/A,#N/A,FALSE,"Fyr"}</definedName>
    <definedName name="SAPBEXdnldView" hidden="1">"1S58UHVMFMZ4N40XIDIHPL4I5"</definedName>
    <definedName name="SAPBEXsysID" hidden="1">"BWT"</definedName>
    <definedName name="sdf" hidden="1">{#N/A,#N/A,FALSE,"Sk"}</definedName>
    <definedName name="sdfg" hidden="1">{#N/A,#N/A,FALSE,"----RR";#N/A,#N/A,FALSE,"ER 1";#N/A,#N/A,FALSE,"ER 2";#N/A,#N/A,FALSE,"Sjóðstreymi"}</definedName>
    <definedName name="sfdgdfg" hidden="1">{#N/A,#N/A,FALSE,"Forsíða";#N/A,#N/A,FALSE,"Index";#N/A,#N/A,FALSE,"Skýrsla";#N/A,#N/A,FALSE,"Áritun"}</definedName>
    <definedName name="SHOA" localSheetId="7" hidden="1">{#N/A,#N/A,FALSE,"Virgin Flightdeck"}</definedName>
    <definedName name="SHOA" hidden="1">{#N/A,#N/A,FALSE,"Virgin Flightdeck"}</definedName>
    <definedName name="Snow" localSheetId="7" hidden="1">{#N/A,#N/A,FALSE,"Virgin Flightdeck"}</definedName>
    <definedName name="Snow" hidden="1">{#N/A,#N/A,FALSE,"Virgin Flightdeck"}</definedName>
    <definedName name="solver_lin" hidden="1">0</definedName>
    <definedName name="solver_num" hidden="1">0</definedName>
    <definedName name="solver_typ" hidden="1">3</definedName>
    <definedName name="solver_val" hidden="1">0</definedName>
    <definedName name="summary3" localSheetId="7" hidden="1">{#N/A,#N/A,FALSE,"Virgin Flightdeck"}</definedName>
    <definedName name="summary3" hidden="1">{#N/A,#N/A,FALSE,"Virgin Flightdeck"}</definedName>
    <definedName name="Tax_rate">[3]Assumptions!$C$13</definedName>
    <definedName name="TextRefCopyRangeCount" hidden="1">4</definedName>
    <definedName name="Tolerable_days_diff">[3]Assumptions!$C$39</definedName>
    <definedName name="Valuation_date">[3]Assumptions!$C$7</definedName>
    <definedName name="w" localSheetId="7" hidden="1">{#N/A,#N/A,FALSE,"OffAdvance";#N/A,#N/A,FALSE,"OffExpRprt";#N/A,#N/A,FALSE,"Entertmnt";#N/A,#N/A,FALSE,"Promotion";#N/A,#N/A,FALSE,"Travelling"}</definedName>
    <definedName name="w" hidden="1">{#N/A,#N/A,FALSE,"OffAdvance";#N/A,#N/A,FALSE,"OffExpRprt";#N/A,#N/A,FALSE,"Entertmnt";#N/A,#N/A,FALSE,"Promotion";#N/A,#N/A,FALSE,"Travelling"}</definedName>
    <definedName name="WACC_new" localSheetId="7" hidden="1">{#N/A,#N/A,FALSE,"Virgin Flightdeck"}</definedName>
    <definedName name="WACC_new" hidden="1">{#N/A,#N/A,FALSE,"Virgin Flightdeck"}</definedName>
    <definedName name="wrn.5._.ára._.yfirlit." hidden="1">{#N/A,#N/A,FALSE,"5"}</definedName>
    <definedName name="wrn.Aðalbók._.og._.lokafærslur." hidden="1">{#N/A,#N/A,FALSE,"AÐB";#N/A,#N/A,FALSE,"LOF"}</definedName>
    <definedName name="wrn.Allur._.ársreikningur." hidden="1">{#N/A,#N/A,FALSE,"F";#N/A,#N/A,FALSE,"E";#N/A,#N/A,FALSE,"S";#N/A,#N/A,FALSE,"Á";#N/A,#N/A,FALSE,"RR";#N/A,#N/A,FALSE,"E1";#N/A,#N/A,FALSE,"E2";#N/A,#N/A,FALSE,"Sj";#N/A,#N/A,FALSE,"R";#N/A,#N/A,FALSE,"Sk"}</definedName>
    <definedName name="wrn.ANALYSIS._.9507." localSheetId="7" hidden="1">{#N/A,#N/A,FALSE,"ABB HOLDING LTD"}</definedName>
    <definedName name="wrn.ANALYSIS._.9507." hidden="1">{#N/A,#N/A,FALSE,"ABB HOLDING LTD"}</definedName>
    <definedName name="WRN.ANALYSIS._.9511." localSheetId="7" hidden="1">{#N/A,#N/A,FALSE,"ABB HOLDING LTD"}</definedName>
    <definedName name="WRN.ANALYSIS._.9511." hidden="1">{#N/A,#N/A,FALSE,"ABB HOLDING LTD"}</definedName>
    <definedName name="wrn.Ársreikn.._.án._.reikningsskilaaðf.." hidden="1">{#N/A,#N/A,FALSE,"Forsíða";#N/A,#N/A,FALSE,"Index";#N/A,#N/A,FALSE,"Skýrsla";#N/A,#N/A,FALSE,"Áritun";#N/A,#N/A,FALSE,"----RR";#N/A,#N/A,FALSE,"ER 1";#N/A,#N/A,FALSE,"ER 2";#N/A,#N/A,FALSE,"Sjóðstreymi";#N/A,#N/A,FALSE,"Skýringar"}</definedName>
    <definedName name="wrn.Ársreikn.._.án._.skýrslu._.stj.._.og._.reiknskaðf." hidden="1">{#N/A,#N/A,FALSE,"Forsíða";#N/A,#N/A,FALSE,"Index";#N/A,#N/A,FALSE,"Áritun";#N/A,#N/A,FALSE,"----RR";#N/A,#N/A,FALSE,"ER 1";#N/A,#N/A,FALSE,"ER 2";#N/A,#N/A,FALSE,"Sjóðstreymi";#N/A,#N/A,FALSE,"Skýringar"}</definedName>
    <definedName name="wrn.Ársreikn._.án._.skýrslu._.stjórnar." hidden="1">{#N/A,#N/A,FALSE,"Forsíða";#N/A,#N/A,FALSE,"Index";#N/A,#N/A,FALSE,"Áritun";#N/A,#N/A,FALSE,"----RR";#N/A,#N/A,FALSE,"ER 1";#N/A,#N/A,FALSE,"ER 2";#N/A,#N/A,FALSE,"Sjóðstreymi";#N/A,#N/A,FALSE,"Rs.aðf";#N/A,#N/A,FALSE,"Skýringar"}</definedName>
    <definedName name="wrn.esl." localSheetId="7" hidden="1">{"Monthly6Q",#N/A,FALSE,"0614ESL"}</definedName>
    <definedName name="wrn.esl." hidden="1">{"Monthly6Q",#N/A,FALSE,"0614ESL"}</definedName>
    <definedName name="wrn.Fimma._.ára._.yfirlit." hidden="1">{#N/A,#N/A,FALSE,"Fimmár"}</definedName>
    <definedName name="wrn.form." localSheetId="7" hidden="1">{#N/A,#N/A,FALSE,"OffAdvance";#N/A,#N/A,FALSE,"OffExpRprt";#N/A,#N/A,FALSE,"Entertmnt";#N/A,#N/A,FALSE,"Promotion";#N/A,#N/A,FALSE,"Travelling"}</definedName>
    <definedName name="wrn.form." hidden="1">{#N/A,#N/A,FALSE,"OffAdvance";#N/A,#N/A,FALSE,"OffExpRprt";#N/A,#N/A,FALSE,"Entertmnt";#N/A,#N/A,FALSE,"Promotion";#N/A,#N/A,FALSE,"Travelling"}</definedName>
    <definedName name="wrn.Fors.._.yfirlit._.skýrsl.._.áritun." hidden="1">{#N/A,#N/A,FALSE,"Forsíða";#N/A,#N/A,FALSE,"Index";#N/A,#N/A,FALSE,"Skýrsla";#N/A,#N/A,FALSE,"Áritun"}</definedName>
    <definedName name="wrn.Fyrningarskýrsla." hidden="1">{#N/A,#N/A,FALSE,"Fyr"}</definedName>
    <definedName name="wrn.Lánatafla._.og._.lánaútreikningur." hidden="1">{#N/A,#N/A,FALSE,"L taf";#N/A,#N/A,FALSE,"L útr"}</definedName>
    <definedName name="wrn.Office." localSheetId="7" hidden="1">{#N/A,#N/A,FALSE,"OffAdvance";#N/A,#N/A,FALSE,"OffExpRprt";#N/A,#N/A,FALSE,"Travelling";#N/A,#N/A,FALSE,"Entertmnt";#N/A,#N/A,FALSE,"Promotion"}</definedName>
    <definedName name="wrn.Office." hidden="1">{#N/A,#N/A,FALSE,"OffAdvance";#N/A,#N/A,FALSE,"OffExpRprt";#N/A,#N/A,FALSE,"Travelling";#N/A,#N/A,FALSE,"Entertmnt";#N/A,#N/A,FALSE,"Promotion"}</definedName>
    <definedName name="wrn.Opinber._.gjöld." hidden="1">{#N/A,#N/A,FALSE,"Op gj"}</definedName>
    <definedName name="wrn.Radio." localSheetId="7" hidden="1">{#N/A,#N/A,FALSE,"Virgin Flightdeck"}</definedName>
    <definedName name="wrn.Radio." hidden="1">{#N/A,#N/A,FALSE,"Virgin Flightdeck"}</definedName>
    <definedName name="wrn.Rekstrarkall." hidden="1">{#N/A,#N/A,FALSE,"ER";#N/A,#N/A,FALSE,"RR";#N/A,#N/A,FALSE,"--Bó";#N/A,#N/A,FALSE,"Að--";#N/A,#N/A,FALSE,"VSK"}</definedName>
    <definedName name="wrn.RR._.ER._.Sjóðstreymi." hidden="1">{#N/A,#N/A,FALSE,"RR";#N/A,#N/A,FALSE,"E1";#N/A,#N/A,FALSE,"E2";#N/A,#N/A,FALSE,"Sj"}</definedName>
    <definedName name="wrn.RSK._.fyrningarskýrsla." hidden="1">{#N/A,#N/A,FALSE,"RSK fyrn.skýrsla"}</definedName>
    <definedName name="wrn.Sales." localSheetId="7" hidden="1">{#N/A,#N/A,FALSE,"Marketing";#N/A,#N/A,FALSE,"Selling";#N/A,#N/A,FALSE,"Promotional";#N/A,#N/A,FALSE,"Advertising"}</definedName>
    <definedName name="wrn.Sales." hidden="1">{#N/A,#N/A,FALSE,"Marketing";#N/A,#N/A,FALSE,"Selling";#N/A,#N/A,FALSE,"Promotional";#N/A,#N/A,FALSE,"Advertising"}</definedName>
    <definedName name="wrn.SAMANDR." hidden="1">{#N/A,#N/A,FALSE,"94-95";"SAMANDR",#N/A,FALSE,"94-95"}</definedName>
    <definedName name="wrn.Skattar._.ársins." hidden="1">{#N/A,#N/A,FALSE,"Tsk";#N/A,#N/A,FALSE,"Esk"}</definedName>
    <definedName name="wrn.Skýringar." hidden="1">{#N/A,#N/A,FALSE,"Sk"}</definedName>
    <definedName name="wrn.toptrial." localSheetId="7" hidden="1">{"toptrial",#N/A,TRUE,"toptrial";"adjustment",#N/A,TRUE,"toptrial";"voucher",#N/A,TRUE,"toptrial"}</definedName>
    <definedName name="wrn.toptrial." hidden="1">{"toptrial",#N/A,TRUE,"toptrial";"adjustment",#N/A,TRUE,"toptrial";"voucher",#N/A,TRUE,"toptrial"}</definedName>
    <definedName name="wrn.voucher9703." localSheetId="7" hidden="1">{#N/A,#N/A,FALSE,"970301";#N/A,#N/A,FALSE,"970302";#N/A,#N/A,FALSE,"970303";#N/A,#N/A,FALSE,"970304";#N/A,#N/A,FALSE,"COM1";#N/A,#N/A,FALSE,"COM2"}</definedName>
    <definedName name="wrn.voucher9703." hidden="1">{#N/A,#N/A,FALSE,"970301";#N/A,#N/A,FALSE,"970302";#N/A,#N/A,FALSE,"970303";#N/A,#N/A,FALSE,"970304";#N/A,#N/A,FALSE,"COM1";#N/A,#N/A,FALSE,"COM2"}</definedName>
    <definedName name="x" localSheetId="7" hidden="1">{#N/A,#N/A,FALSE,"Virgin Flightdeck"}</definedName>
    <definedName name="x" hidden="1">{#N/A,#N/A,FALSE,"Virgin Flightdeck"}</definedName>
    <definedName name="xxx10" hidden="1">{#N/A,#N/A,FALSE,"Fyr"}</definedName>
    <definedName name="xxx12" hidden="1">{#N/A,#N/A,FALSE,"Op gj"}</definedName>
    <definedName name="xxx5" hidden="1">{#N/A,#N/A,FALSE,"Forsíða";#N/A,#N/A,FALSE,"Index";#N/A,#N/A,FALSE,"Skýrsla";#N/A,#N/A,FALSE,"Áritun";#N/A,#N/A,FALSE,"----RR";#N/A,#N/A,FALSE,"ER 1";#N/A,#N/A,FALSE,"ER 2";#N/A,#N/A,FALSE,"Sjóðstreymi";#N/A,#N/A,FALSE,"Skýringar"}</definedName>
    <definedName name="xxx7" hidden="1">{#N/A,#N/A,FALSE,"Forsíða";#N/A,#N/A,FALSE,"Index";#N/A,#N/A,FALSE,"Áritun";#N/A,#N/A,FALSE,"----RR";#N/A,#N/A,FALSE,"ER 1";#N/A,#N/A,FALSE,"ER 2";#N/A,#N/A,FALSE,"Sjóðstreymi";#N/A,#N/A,FALSE,"Rs.aðf";#N/A,#N/A,FALSE,"Skýringar"}</definedName>
    <definedName name="xxx8" hidden="1">{#N/A,#N/A,FALSE,"Fimmár"}</definedName>
    <definedName name="xxxx13" hidden="1">{#N/A,#N/A,FALSE,"RR";#N/A,#N/A,FALSE,"E1";#N/A,#N/A,FALSE,"E2";#N/A,#N/A,FALSE,"Sj"}</definedName>
    <definedName name="xxxx14" hidden="1">{#N/A,#N/A,FALSE,"RSK fyrn.skýrsla"}</definedName>
    <definedName name="xxxx15" hidden="1">{#N/A,#N/A,FALSE,"Tsk";#N/A,#N/A,FALSE,"Esk"}</definedName>
    <definedName name="xxxx17" hidden="1">{#N/A,#N/A,FALSE,"Sk"}</definedName>
    <definedName name="xxxx2" hidden="1">{#N/A,#N/A,FALSE,"5"}</definedName>
    <definedName name="xxxx3" hidden="1">{#N/A,#N/A,FALSE,"AÐB";#N/A,#N/A,FALSE,"LOF"}</definedName>
    <definedName name="xxxx4" hidden="1">{#N/A,#N/A,FALSE,"F";#N/A,#N/A,FALSE,"E";#N/A,#N/A,FALSE,"S";#N/A,#N/A,FALSE,"Á";#N/A,#N/A,FALSE,"RR";#N/A,#N/A,FALSE,"E1";#N/A,#N/A,FALSE,"E2";#N/A,#N/A,FALSE,"Sj";#N/A,#N/A,FALSE,"R";#N/A,#N/A,FALSE,"Sk"}</definedName>
    <definedName name="xxxx6" hidden="1">{#N/A,#N/A,FALSE,"Forsíða";#N/A,#N/A,FALSE,"Index";#N/A,#N/A,FALSE,"Áritun";#N/A,#N/A,FALSE,"----RR";#N/A,#N/A,FALSE,"ER 1";#N/A,#N/A,FALSE,"ER 2";#N/A,#N/A,FALSE,"Sjóðstreymi";#N/A,#N/A,FALSE,"Skýringar"}</definedName>
    <definedName name="xxxx9" hidden="1">{#N/A,#N/A,FALSE,"Forsíða";#N/A,#N/A,FALSE,"Index";#N/A,#N/A,FALSE,"Skýrsla";#N/A,#N/A,FALSE,"Áritun"}</definedName>
    <definedName name="Year_0">'[3]Dates and currencies'!$G$14</definedName>
    <definedName name="z" localSheetId="7" hidden="1">{#N/A,#N/A,FALSE,"Virgin Flightdeck"}</definedName>
    <definedName name="z" hidden="1">{#N/A,#N/A,FALSE,"Virgin Flightdeck"}</definedName>
    <definedName name="Z_B9384B7B_3BC5_11D8_8753_00D009C9A5D3_.wvu.Cols" hidden="1">#REF!</definedName>
    <definedName name="Z_B9384B7B_3BC5_11D8_8753_00D009C9A5D3_.wvu.FilterData" hidden="1">#REF!</definedName>
    <definedName name="Z_B9384B7B_3BC5_11D8_8753_00D009C9A5D3_.wvu.PrintTitles" hidden="1">#REF!</definedName>
    <definedName name="Z_CB0E8320_907C_11D8_8F9A_003018607B51_.wvu.Cols" hidden="1">#REF!</definedName>
    <definedName name="借款" localSheetId="7" hidden="1">{#N/A,#N/A,FALSE,"970301";#N/A,#N/A,FALSE,"970302";#N/A,#N/A,FALSE,"970303";#N/A,#N/A,FALSE,"970304";#N/A,#N/A,FALSE,"COM1";#N/A,#N/A,FALSE,"COM2"}</definedName>
    <definedName name="借款" hidden="1">{#N/A,#N/A,FALSE,"970301";#N/A,#N/A,FALSE,"970302";#N/A,#N/A,FALSE,"970303";#N/A,#N/A,FALSE,"970304";#N/A,#N/A,FALSE,"COM1";#N/A,#N/A,FALSE,"COM2"}</definedName>
    <definedName name="备用" localSheetId="7" hidden="1">{#N/A,#N/A,FALSE,"OffAdvance";#N/A,#N/A,FALSE,"OffExpRprt";#N/A,#N/A,FALSE,"Entertmnt";#N/A,#N/A,FALSE,"Promotion";#N/A,#N/A,FALSE,"Travelling"}</definedName>
    <definedName name="备用" hidden="1">{#N/A,#N/A,FALSE,"OffAdvance";#N/A,#N/A,FALSE,"OffExpRprt";#N/A,#N/A,FALSE,"Entertmnt";#N/A,#N/A,FALSE,"Promotion";#N/A,#N/A,FALSE,"Travelling"}</definedName>
    <definedName name="应手款" localSheetId="7" hidden="1">{#N/A,#N/A,FALSE,"970301";#N/A,#N/A,FALSE,"970302";#N/A,#N/A,FALSE,"970303";#N/A,#N/A,FALSE,"970304";#N/A,#N/A,FALSE,"COM1";#N/A,#N/A,FALSE,"COM2"}</definedName>
    <definedName name="应手款" hidden="1">{#N/A,#N/A,FALSE,"970301";#N/A,#N/A,FALSE,"970302";#N/A,#N/A,FALSE,"970303";#N/A,#N/A,FALSE,"970304";#N/A,#N/A,FALSE,"COM1";#N/A,#N/A,FALSE,"COM2"}</definedName>
    <definedName name="应手款1月" localSheetId="7" hidden="1">{#N/A,#N/A,FALSE,"Marketing";#N/A,#N/A,FALSE,"Selling";#N/A,#N/A,FALSE,"Promotional";#N/A,#N/A,FALSE,"Advertising"}</definedName>
    <definedName name="应手款1月" hidden="1">{#N/A,#N/A,FALSE,"Marketing";#N/A,#N/A,FALSE,"Selling";#N/A,#N/A,FALSE,"Promotional";#N/A,#N/A,FALSE,"Advertising"}</definedName>
    <definedName name="把" localSheetId="7" hidden="1">{#N/A,#N/A,FALSE,"Virgin Flightdeck"}</definedName>
    <definedName name="把" hidden="1">{#N/A,#N/A,FALSE,"Virgin Flightdeck"}</definedName>
    <definedName name="试验" localSheetId="7" hidden="1">{#N/A,#N/A,FALSE,"OffAdvance";#N/A,#N/A,FALSE,"OffExpRprt";#N/A,#N/A,FALSE,"Travelling";#N/A,#N/A,FALSE,"Entertmnt";#N/A,#N/A,FALSE,"Promotion"}</definedName>
    <definedName name="试验" hidden="1">{#N/A,#N/A,FALSE,"OffAdvance";#N/A,#N/A,FALSE,"OffExpRprt";#N/A,#N/A,FALSE,"Travelling";#N/A,#N/A,FALSE,"Entertmnt";#N/A,#N/A,FALSE,"Promotion"}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 i="1" l="1"/>
  <c r="D2" i="1" s="1"/>
  <c r="E48" i="6"/>
  <c r="J35" i="6"/>
  <c r="M42" i="6"/>
  <c r="R42" i="6"/>
  <c r="U42" i="6"/>
  <c r="Z42" i="6"/>
  <c r="AD42" i="6"/>
  <c r="AD46" i="6" s="1"/>
  <c r="AI42" i="6"/>
  <c r="AI46" i="6" s="1"/>
  <c r="AL42" i="6"/>
  <c r="AL46" i="6" s="1"/>
  <c r="AQ42" i="6"/>
  <c r="AQ46" i="6" s="1"/>
  <c r="AT42" i="6"/>
  <c r="AT46" i="6" s="1"/>
  <c r="L55" i="6"/>
  <c r="M55" i="6"/>
  <c r="O55" i="6"/>
  <c r="P55" i="6"/>
  <c r="T55" i="6"/>
  <c r="U55" i="6"/>
  <c r="W55" i="6"/>
  <c r="X55" i="6"/>
  <c r="Z55" i="6"/>
  <c r="AA55" i="6"/>
  <c r="AA59" i="6" s="1"/>
  <c r="AB55" i="6"/>
  <c r="AB59" i="6" s="1"/>
  <c r="AC55" i="6"/>
  <c r="AC59" i="6" s="1"/>
  <c r="AD55" i="6"/>
  <c r="AD59" i="6" s="1"/>
  <c r="AE55" i="6"/>
  <c r="AE59" i="6" s="1"/>
  <c r="AF55" i="6"/>
  <c r="AF59" i="6" s="1"/>
  <c r="AG55" i="6"/>
  <c r="AG59" i="6" s="1"/>
  <c r="AH55" i="6"/>
  <c r="AH59" i="6" s="1"/>
  <c r="AI55" i="6"/>
  <c r="AI59" i="6" s="1"/>
  <c r="AJ55" i="6"/>
  <c r="AJ59" i="6" s="1"/>
  <c r="AK55" i="6"/>
  <c r="AK59" i="6" s="1"/>
  <c r="AL55" i="6"/>
  <c r="AL59" i="6" s="1"/>
  <c r="AM55" i="6"/>
  <c r="AM59" i="6" s="1"/>
  <c r="AN55" i="6"/>
  <c r="AN59" i="6" s="1"/>
  <c r="AO55" i="6"/>
  <c r="AO59" i="6" s="1"/>
  <c r="AP55" i="6"/>
  <c r="AP59" i="6" s="1"/>
  <c r="AQ55" i="6"/>
  <c r="AQ59" i="6" s="1"/>
  <c r="AR55" i="6"/>
  <c r="AR59" i="6" s="1"/>
  <c r="AS55" i="6"/>
  <c r="AS59" i="6" s="1"/>
  <c r="AT55" i="6"/>
  <c r="AT59" i="6" s="1"/>
  <c r="AU55" i="6"/>
  <c r="AU59" i="6" s="1"/>
  <c r="J55" i="6"/>
  <c r="E61" i="6"/>
  <c r="Q55" i="6" s="1"/>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AY19" i="5"/>
  <c r="AZ19" i="5"/>
  <c r="AZ21" i="5"/>
  <c r="AY21" i="5"/>
  <c r="AX21" i="5"/>
  <c r="AW21" i="5"/>
  <c r="AV21" i="5"/>
  <c r="AU21" i="5"/>
  <c r="AT21" i="5"/>
  <c r="AS21" i="5"/>
  <c r="AR21" i="5"/>
  <c r="AQ21" i="5"/>
  <c r="AP21" i="5"/>
  <c r="AO21" i="5"/>
  <c r="AO11" i="5"/>
  <c r="AP11" i="5"/>
  <c r="AQ11" i="5"/>
  <c r="AR11" i="5"/>
  <c r="AS11" i="5"/>
  <c r="AT11" i="5"/>
  <c r="AU11" i="5"/>
  <c r="AV11" i="5"/>
  <c r="AW11" i="5"/>
  <c r="AX11" i="5"/>
  <c r="AY11" i="5"/>
  <c r="AZ11" i="5"/>
  <c r="E46" i="6"/>
  <c r="N42" i="6" s="1"/>
  <c r="D48" i="1"/>
  <c r="D14" i="1"/>
  <c r="D28" i="1" s="1"/>
  <c r="AS42" i="6" l="1"/>
  <c r="AS46" i="6" s="1"/>
  <c r="AK42" i="6"/>
  <c r="AK46" i="6" s="1"/>
  <c r="AC42" i="6"/>
  <c r="AC46" i="6" s="1"/>
  <c r="T42" i="6"/>
  <c r="L42" i="6"/>
  <c r="L46" i="6" s="1"/>
  <c r="V55" i="6"/>
  <c r="N55" i="6"/>
  <c r="AR42" i="6"/>
  <c r="AR46" i="6" s="1"/>
  <c r="AJ42" i="6"/>
  <c r="AJ46" i="6" s="1"/>
  <c r="AB42" i="6"/>
  <c r="AB46" i="6" s="1"/>
  <c r="S42" i="6"/>
  <c r="K42" i="6"/>
  <c r="K46" i="6" s="1"/>
  <c r="AP42" i="6"/>
  <c r="AP46" i="6" s="1"/>
  <c r="AH42" i="6"/>
  <c r="AH46" i="6" s="1"/>
  <c r="Y42" i="6"/>
  <c r="Q42" i="6"/>
  <c r="Q46" i="6" s="1"/>
  <c r="AA42" i="6"/>
  <c r="AA46" i="6" s="1"/>
  <c r="S55" i="6"/>
  <c r="K55" i="6"/>
  <c r="K59" i="6" s="1"/>
  <c r="AO42" i="6"/>
  <c r="AO46" i="6" s="1"/>
  <c r="AG42" i="6"/>
  <c r="AG46" i="6" s="1"/>
  <c r="X42" i="6"/>
  <c r="P42" i="6"/>
  <c r="P46" i="6" s="1"/>
  <c r="R55" i="6"/>
  <c r="W59" i="6" s="1"/>
  <c r="J42" i="6"/>
  <c r="Y46" i="6" s="1"/>
  <c r="AN42" i="6"/>
  <c r="AN46" i="6" s="1"/>
  <c r="AF42" i="6"/>
  <c r="AF46" i="6" s="1"/>
  <c r="W42" i="6"/>
  <c r="O42" i="6"/>
  <c r="O46" i="6" s="1"/>
  <c r="Y55" i="6"/>
  <c r="AU42" i="6"/>
  <c r="AU46" i="6" s="1"/>
  <c r="AM42" i="6"/>
  <c r="AM46" i="6" s="1"/>
  <c r="AE42" i="6"/>
  <c r="AE46" i="6" s="1"/>
  <c r="V42" i="6"/>
  <c r="J46" i="6"/>
  <c r="Y59" i="6"/>
  <c r="Q59" i="6"/>
  <c r="P59" i="6"/>
  <c r="O59" i="6"/>
  <c r="N59" i="6"/>
  <c r="U59" i="6"/>
  <c r="M59" i="6"/>
  <c r="L59" i="6"/>
  <c r="J59" i="6"/>
  <c r="S46" i="6"/>
  <c r="N46" i="6"/>
  <c r="U46" i="6"/>
  <c r="M46" i="6"/>
  <c r="R46" i="6"/>
  <c r="T46" i="6"/>
  <c r="J49" i="6"/>
  <c r="S59" i="6" l="1"/>
  <c r="X46" i="6"/>
  <c r="J51" i="6"/>
  <c r="Z46" i="6"/>
  <c r="V59" i="6"/>
  <c r="Z59" i="6"/>
  <c r="V46" i="6"/>
  <c r="W46" i="6"/>
  <c r="R59" i="6"/>
  <c r="T59" i="6"/>
  <c r="X59" i="6"/>
  <c r="E45" i="6"/>
  <c r="D78" i="1"/>
  <c r="E34" i="6" l="1"/>
  <c r="F20" i="13"/>
  <c r="F22" i="13" s="1"/>
  <c r="F24" i="13" s="1"/>
  <c r="AV48" i="13"/>
  <c r="AV49" i="13" s="1"/>
  <c r="AW48" i="13"/>
  <c r="AW49" i="13" s="1"/>
  <c r="AX48" i="13"/>
  <c r="AX49" i="13" s="1"/>
  <c r="AS46" i="13"/>
  <c r="AS48" i="13" s="1"/>
  <c r="AT46" i="13"/>
  <c r="AT48" i="13" s="1"/>
  <c r="AU46" i="13"/>
  <c r="AU48" i="13" s="1"/>
  <c r="AU49" i="13" s="1"/>
  <c r="AP44" i="13"/>
  <c r="AP45" i="13" s="1"/>
  <c r="AQ44" i="13"/>
  <c r="AQ46" i="13" s="1"/>
  <c r="AR44" i="13"/>
  <c r="AR46" i="13" s="1"/>
  <c r="AM42" i="13"/>
  <c r="AM44" i="13" s="1"/>
  <c r="AN42" i="13"/>
  <c r="AN43" i="13" s="1"/>
  <c r="AO42" i="13"/>
  <c r="AO43" i="13" s="1"/>
  <c r="AJ40" i="13"/>
  <c r="AK40" i="13"/>
  <c r="AK42" i="13" s="1"/>
  <c r="AL40" i="13"/>
  <c r="AL42" i="13" s="1"/>
  <c r="AG38" i="13"/>
  <c r="AG40" i="13" s="1"/>
  <c r="AG42" i="13" s="1"/>
  <c r="AH38" i="13"/>
  <c r="AH40" i="13" s="1"/>
  <c r="AI38" i="13"/>
  <c r="AI39" i="13" s="1"/>
  <c r="AD36" i="13"/>
  <c r="AD37" i="13" s="1"/>
  <c r="AE36" i="13"/>
  <c r="AE38" i="13" s="1"/>
  <c r="AF36" i="13"/>
  <c r="AF38" i="13" s="1"/>
  <c r="AA34" i="13"/>
  <c r="AA35" i="13" s="1"/>
  <c r="AB34" i="13"/>
  <c r="AB36" i="13" s="1"/>
  <c r="AB38" i="13" s="1"/>
  <c r="AC34" i="13"/>
  <c r="AC36" i="13" s="1"/>
  <c r="X32" i="13"/>
  <c r="X34" i="13" s="1"/>
  <c r="Y32" i="13"/>
  <c r="Y33" i="13" s="1"/>
  <c r="Z32" i="13"/>
  <c r="Z33" i="13" s="1"/>
  <c r="U30" i="13"/>
  <c r="U32" i="13" s="1"/>
  <c r="V30" i="13"/>
  <c r="W30" i="13"/>
  <c r="W31" i="13" s="1"/>
  <c r="R28" i="13"/>
  <c r="R29" i="13" s="1"/>
  <c r="S28" i="13"/>
  <c r="S29" i="13" s="1"/>
  <c r="T28" i="13"/>
  <c r="T29" i="13" s="1"/>
  <c r="O26" i="13"/>
  <c r="O28" i="13" s="1"/>
  <c r="P26" i="13"/>
  <c r="Q26" i="13"/>
  <c r="Q27" i="13" s="1"/>
  <c r="L24" i="13"/>
  <c r="L26" i="13" s="1"/>
  <c r="L27" i="13" s="1"/>
  <c r="M24" i="13"/>
  <c r="M25" i="13" s="1"/>
  <c r="N24" i="13"/>
  <c r="I22" i="13"/>
  <c r="I24" i="13" s="1"/>
  <c r="J22" i="13"/>
  <c r="J24" i="13" s="1"/>
  <c r="K22" i="13"/>
  <c r="K24" i="13" s="1"/>
  <c r="K25" i="13" s="1"/>
  <c r="G20" i="13"/>
  <c r="G22" i="13" s="1"/>
  <c r="G24" i="13" s="1"/>
  <c r="H20" i="13"/>
  <c r="H22" i="13" s="1"/>
  <c r="H24" i="13" s="1"/>
  <c r="D18" i="13"/>
  <c r="D20" i="13" s="1"/>
  <c r="D22" i="13" s="1"/>
  <c r="D24" i="13" s="1"/>
  <c r="E18" i="13"/>
  <c r="E20" i="13" s="1"/>
  <c r="E22" i="13" s="1"/>
  <c r="E24" i="13" s="1"/>
  <c r="C18" i="13"/>
  <c r="C20" i="13" s="1"/>
  <c r="C22" i="13" s="1"/>
  <c r="C24" i="13" s="1"/>
  <c r="C26" i="13" s="1"/>
  <c r="C27" i="13" s="1"/>
  <c r="AR45" i="13" l="1"/>
  <c r="AG39" i="13"/>
  <c r="AE37" i="13"/>
  <c r="AM43" i="13"/>
  <c r="W32" i="13"/>
  <c r="W33" i="13" s="1"/>
  <c r="AS47" i="13"/>
  <c r="AL41" i="13"/>
  <c r="AQ45" i="13"/>
  <c r="AK41" i="13"/>
  <c r="AD38" i="13"/>
  <c r="AD40" i="13" s="1"/>
  <c r="AD42" i="13" s="1"/>
  <c r="AD44" i="13" s="1"/>
  <c r="N26" i="13"/>
  <c r="N25" i="13"/>
  <c r="AJ42" i="13"/>
  <c r="AJ44" i="13" s="1"/>
  <c r="AJ46" i="13" s="1"/>
  <c r="AJ41" i="13"/>
  <c r="P27" i="13"/>
  <c r="P28" i="13"/>
  <c r="P29" i="13" s="1"/>
  <c r="V31" i="13"/>
  <c r="V32" i="13"/>
  <c r="AP46" i="13"/>
  <c r="AP48" i="13" s="1"/>
  <c r="AP49" i="13" s="1"/>
  <c r="R30" i="13"/>
  <c r="R31" i="13" s="1"/>
  <c r="C28" i="13"/>
  <c r="M26" i="13"/>
  <c r="L28" i="13"/>
  <c r="U33" i="13"/>
  <c r="U34" i="13"/>
  <c r="U31" i="13"/>
  <c r="T30" i="13"/>
  <c r="S30" i="13"/>
  <c r="O29" i="13"/>
  <c r="O30" i="13"/>
  <c r="O27" i="13"/>
  <c r="Q28" i="13"/>
  <c r="X35" i="13"/>
  <c r="X36" i="13"/>
  <c r="Z34" i="13"/>
  <c r="X33" i="13"/>
  <c r="Y34" i="13"/>
  <c r="AU47" i="13"/>
  <c r="AR48" i="13"/>
  <c r="AR49" i="13" s="1"/>
  <c r="AR47" i="13"/>
  <c r="AQ48" i="13"/>
  <c r="AQ49" i="13" s="1"/>
  <c r="AQ47" i="13"/>
  <c r="AM46" i="13"/>
  <c r="AM45" i="13"/>
  <c r="AN44" i="13"/>
  <c r="AN46" i="13" s="1"/>
  <c r="AO44" i="13"/>
  <c r="AL44" i="13"/>
  <c r="AL43" i="13"/>
  <c r="AK43" i="13"/>
  <c r="AK44" i="13"/>
  <c r="AG44" i="13"/>
  <c r="AG43" i="13"/>
  <c r="AH42" i="13"/>
  <c r="AH44" i="13" s="1"/>
  <c r="AG41" i="13"/>
  <c r="AI40" i="13"/>
  <c r="AE40" i="13"/>
  <c r="AE39" i="13"/>
  <c r="AF39" i="13"/>
  <c r="AF40" i="13"/>
  <c r="AF37" i="13"/>
  <c r="AB35" i="13"/>
  <c r="AB39" i="13"/>
  <c r="AB40" i="13"/>
  <c r="AA36" i="13"/>
  <c r="AC35" i="13"/>
  <c r="AB37" i="13"/>
  <c r="AC38" i="13"/>
  <c r="AC37" i="13"/>
  <c r="AT49" i="13"/>
  <c r="AS49" i="13"/>
  <c r="AT47" i="13"/>
  <c r="AH41" i="13"/>
  <c r="AH39" i="13"/>
  <c r="H25" i="13"/>
  <c r="H26" i="13"/>
  <c r="G26" i="13"/>
  <c r="G25" i="13"/>
  <c r="J25" i="13"/>
  <c r="J26" i="13"/>
  <c r="E26" i="13"/>
  <c r="E25" i="13"/>
  <c r="I25" i="13"/>
  <c r="I26" i="13"/>
  <c r="D26" i="13"/>
  <c r="D25" i="13"/>
  <c r="K26" i="13"/>
  <c r="L25" i="13"/>
  <c r="F25" i="13"/>
  <c r="F26" i="13"/>
  <c r="F28" i="13" s="1"/>
  <c r="C25" i="13"/>
  <c r="G23" i="13"/>
  <c r="H23" i="13"/>
  <c r="G21" i="13"/>
  <c r="H21" i="13"/>
  <c r="C19" i="13"/>
  <c r="D19" i="13"/>
  <c r="E21" i="13"/>
  <c r="W34" i="13" l="1"/>
  <c r="W35" i="13" s="1"/>
  <c r="AD41" i="13"/>
  <c r="AP47" i="13"/>
  <c r="AD39" i="13"/>
  <c r="AN45" i="13"/>
  <c r="AJ43" i="13"/>
  <c r="P30" i="13"/>
  <c r="P32" i="13" s="1"/>
  <c r="V34" i="13"/>
  <c r="V33" i="13"/>
  <c r="R32" i="13"/>
  <c r="R34" i="13" s="1"/>
  <c r="N27" i="13"/>
  <c r="N28" i="13"/>
  <c r="D27" i="13"/>
  <c r="D28" i="13"/>
  <c r="E27" i="13"/>
  <c r="E28" i="13"/>
  <c r="C29" i="13"/>
  <c r="C30" i="13"/>
  <c r="F30" i="13"/>
  <c r="F29" i="13"/>
  <c r="G27" i="13"/>
  <c r="G28" i="13"/>
  <c r="H27" i="13"/>
  <c r="H28" i="13"/>
  <c r="L29" i="13"/>
  <c r="L30" i="13"/>
  <c r="M27" i="13"/>
  <c r="M28" i="13"/>
  <c r="U36" i="13"/>
  <c r="U35" i="13"/>
  <c r="S32" i="13"/>
  <c r="S31" i="13"/>
  <c r="T31" i="13"/>
  <c r="T32" i="13"/>
  <c r="J27" i="13"/>
  <c r="J28" i="13"/>
  <c r="I27" i="13"/>
  <c r="I28" i="13"/>
  <c r="K27" i="13"/>
  <c r="K28" i="13"/>
  <c r="Q30" i="13"/>
  <c r="Q29" i="13"/>
  <c r="O31" i="13"/>
  <c r="O32" i="13"/>
  <c r="Z35" i="13"/>
  <c r="Z36" i="13"/>
  <c r="X38" i="13"/>
  <c r="X37" i="13"/>
  <c r="Y36" i="13"/>
  <c r="Y35" i="13"/>
  <c r="AN48" i="13"/>
  <c r="AN49" i="13" s="1"/>
  <c r="AN47" i="13"/>
  <c r="AO46" i="13"/>
  <c r="AO45" i="13"/>
  <c r="AM47" i="13"/>
  <c r="AM48" i="13"/>
  <c r="AM49" i="13" s="1"/>
  <c r="AK45" i="13"/>
  <c r="AK46" i="13"/>
  <c r="AJ48" i="13"/>
  <c r="AJ49" i="13" s="1"/>
  <c r="AJ47" i="13"/>
  <c r="AJ45" i="13"/>
  <c r="AL45" i="13"/>
  <c r="AL46" i="13"/>
  <c r="AH45" i="13"/>
  <c r="AH46" i="13"/>
  <c r="AH43" i="13"/>
  <c r="AI42" i="13"/>
  <c r="AI41" i="13"/>
  <c r="AG46" i="13"/>
  <c r="AG45" i="13"/>
  <c r="AD46" i="13"/>
  <c r="AD45" i="13"/>
  <c r="AF41" i="13"/>
  <c r="AF42" i="13"/>
  <c r="AD43" i="13"/>
  <c r="AE41" i="13"/>
  <c r="AE42" i="13"/>
  <c r="AA38" i="13"/>
  <c r="AA37" i="13"/>
  <c r="AB42" i="13"/>
  <c r="AB41" i="13"/>
  <c r="AC39" i="13"/>
  <c r="AC40" i="13"/>
  <c r="F27" i="13"/>
  <c r="F23" i="13"/>
  <c r="F21" i="13"/>
  <c r="E23" i="13"/>
  <c r="E19" i="13"/>
  <c r="D53" i="1"/>
  <c r="D54" i="1"/>
  <c r="V38" i="6" l="1"/>
  <c r="AD38" i="6"/>
  <c r="AL38" i="6"/>
  <c r="AT38" i="6"/>
  <c r="O38" i="6"/>
  <c r="W38" i="6"/>
  <c r="AE38" i="6"/>
  <c r="AM38" i="6"/>
  <c r="AU38" i="6"/>
  <c r="P38" i="6"/>
  <c r="X38" i="6"/>
  <c r="AF38" i="6"/>
  <c r="AN38" i="6"/>
  <c r="J38" i="6"/>
  <c r="AG38" i="6"/>
  <c r="AO38" i="6"/>
  <c r="R38" i="6"/>
  <c r="AH38" i="6"/>
  <c r="Q38" i="6"/>
  <c r="S38" i="6"/>
  <c r="AA38" i="6"/>
  <c r="AI38" i="6"/>
  <c r="AQ38" i="6"/>
  <c r="T38" i="6"/>
  <c r="AB38" i="6"/>
  <c r="AJ38" i="6"/>
  <c r="AR38" i="6"/>
  <c r="M38" i="6"/>
  <c r="U38" i="6"/>
  <c r="AC38" i="6"/>
  <c r="AK38" i="6"/>
  <c r="AS38" i="6"/>
  <c r="Y38" i="6"/>
  <c r="K38" i="6"/>
  <c r="Z38" i="6"/>
  <c r="AP38" i="6"/>
  <c r="E5" i="5"/>
  <c r="F5" i="5"/>
  <c r="G5" i="5"/>
  <c r="H5" i="5"/>
  <c r="P5" i="5"/>
  <c r="X5" i="5"/>
  <c r="AF5" i="5"/>
  <c r="AN5" i="5"/>
  <c r="AV5" i="5"/>
  <c r="Q5" i="5"/>
  <c r="Y5" i="5"/>
  <c r="AG5" i="5"/>
  <c r="AO5" i="5"/>
  <c r="AW5" i="5"/>
  <c r="R5" i="5"/>
  <c r="Z5" i="5"/>
  <c r="AH5" i="5"/>
  <c r="AP5" i="5"/>
  <c r="AX5" i="5"/>
  <c r="S5" i="5"/>
  <c r="AA5" i="5"/>
  <c r="AI5" i="5"/>
  <c r="AQ5" i="5"/>
  <c r="AY5" i="5"/>
  <c r="T5" i="5"/>
  <c r="AB5" i="5"/>
  <c r="AJ5" i="5"/>
  <c r="AR5" i="5"/>
  <c r="AZ5" i="5"/>
  <c r="M5" i="5"/>
  <c r="AC5" i="5"/>
  <c r="AS5" i="5"/>
  <c r="N5" i="5"/>
  <c r="AD5" i="5"/>
  <c r="O5" i="5"/>
  <c r="AE5" i="5"/>
  <c r="AU5" i="5"/>
  <c r="I5" i="5"/>
  <c r="J5" i="5"/>
  <c r="K5" i="5"/>
  <c r="L5" i="5"/>
  <c r="U5" i="5"/>
  <c r="AK5" i="5"/>
  <c r="D5" i="5"/>
  <c r="V5" i="5"/>
  <c r="AL5" i="5"/>
  <c r="AT5" i="5"/>
  <c r="W5" i="5"/>
  <c r="AM5" i="5"/>
  <c r="C5" i="5"/>
  <c r="C4" i="5" s="1"/>
  <c r="W36" i="13"/>
  <c r="W37" i="13" s="1"/>
  <c r="P6" i="6"/>
  <c r="O6" i="6"/>
  <c r="Q6" i="6"/>
  <c r="R33" i="13"/>
  <c r="P31" i="13"/>
  <c r="V35" i="13"/>
  <c r="V36" i="13"/>
  <c r="N29" i="13"/>
  <c r="N30" i="13"/>
  <c r="C31" i="13"/>
  <c r="C32" i="13"/>
  <c r="D29" i="13"/>
  <c r="D30" i="13"/>
  <c r="E30" i="13"/>
  <c r="E29" i="13"/>
  <c r="H30" i="13"/>
  <c r="H29" i="13"/>
  <c r="G29" i="13"/>
  <c r="G30" i="13"/>
  <c r="F31" i="13"/>
  <c r="F32" i="13"/>
  <c r="M29" i="13"/>
  <c r="M30" i="13"/>
  <c r="L31" i="13"/>
  <c r="L32" i="13"/>
  <c r="W38" i="13"/>
  <c r="U37" i="13"/>
  <c r="U38" i="13"/>
  <c r="T33" i="13"/>
  <c r="T34" i="13"/>
  <c r="R36" i="13"/>
  <c r="R35" i="13"/>
  <c r="S34" i="13"/>
  <c r="S33" i="13"/>
  <c r="K29" i="13"/>
  <c r="K30" i="13"/>
  <c r="J30" i="13"/>
  <c r="J29" i="13"/>
  <c r="I29" i="13"/>
  <c r="I30" i="13"/>
  <c r="P34" i="13"/>
  <c r="P33" i="13"/>
  <c r="O34" i="13"/>
  <c r="O33" i="13"/>
  <c r="Q32" i="13"/>
  <c r="Q31" i="13"/>
  <c r="Z37" i="13"/>
  <c r="Z38" i="13"/>
  <c r="X39" i="13"/>
  <c r="X40" i="13"/>
  <c r="Y38" i="13"/>
  <c r="Y37" i="13"/>
  <c r="AO48" i="13"/>
  <c r="AO49" i="13" s="1"/>
  <c r="AO47" i="13"/>
  <c r="AL48" i="13"/>
  <c r="AL49" i="13" s="1"/>
  <c r="AL47" i="13"/>
  <c r="AK48" i="13"/>
  <c r="AK49" i="13" s="1"/>
  <c r="AK47" i="13"/>
  <c r="AI44" i="13"/>
  <c r="AI43" i="13"/>
  <c r="AG47" i="13"/>
  <c r="AG48" i="13"/>
  <c r="AG49" i="13" s="1"/>
  <c r="AH48" i="13"/>
  <c r="AH49" i="13" s="1"/>
  <c r="AH47" i="13"/>
  <c r="AF44" i="13"/>
  <c r="AF46" i="13" s="1"/>
  <c r="AF43" i="13"/>
  <c r="AE43" i="13"/>
  <c r="AE44" i="13"/>
  <c r="AD48" i="13"/>
  <c r="AD49" i="13" s="1"/>
  <c r="AD47" i="13"/>
  <c r="AB44" i="13"/>
  <c r="AB46" i="13" s="1"/>
  <c r="AB43" i="13"/>
  <c r="AA40" i="13"/>
  <c r="AA39" i="13"/>
  <c r="AC42" i="13"/>
  <c r="AC41" i="13"/>
  <c r="C21" i="13"/>
  <c r="C23" i="13"/>
  <c r="D21" i="13"/>
  <c r="D23" i="13"/>
  <c r="N6" i="6"/>
  <c r="J35" i="8" s="1"/>
  <c r="J40" i="8" l="1"/>
  <c r="AS51" i="6"/>
  <c r="AT51" i="6"/>
  <c r="AU51" i="6"/>
  <c r="AR51" i="6"/>
  <c r="AP51" i="6"/>
  <c r="AQ51" i="6"/>
  <c r="L35" i="8"/>
  <c r="M35" i="8"/>
  <c r="K35" i="8"/>
  <c r="V37" i="13"/>
  <c r="V38" i="13"/>
  <c r="N32" i="13"/>
  <c r="N31" i="13"/>
  <c r="C33" i="13"/>
  <c r="C34" i="13"/>
  <c r="D32" i="13"/>
  <c r="D31" i="13"/>
  <c r="E32" i="13"/>
  <c r="E31" i="13"/>
  <c r="G31" i="13"/>
  <c r="G32" i="13"/>
  <c r="F33" i="13"/>
  <c r="F34" i="13"/>
  <c r="H31" i="13"/>
  <c r="H32" i="13"/>
  <c r="L33" i="13"/>
  <c r="L34" i="13"/>
  <c r="M32" i="13"/>
  <c r="M31" i="13"/>
  <c r="U40" i="13"/>
  <c r="U42" i="13" s="1"/>
  <c r="U39" i="13"/>
  <c r="W40" i="13"/>
  <c r="W39" i="13"/>
  <c r="R37" i="13"/>
  <c r="R38" i="13"/>
  <c r="T36" i="13"/>
  <c r="T35" i="13"/>
  <c r="S35" i="13"/>
  <c r="S36" i="13"/>
  <c r="J32" i="13"/>
  <c r="J31" i="13"/>
  <c r="I31" i="13"/>
  <c r="I32" i="13"/>
  <c r="K32" i="13"/>
  <c r="K31" i="13"/>
  <c r="O36" i="13"/>
  <c r="O35" i="13"/>
  <c r="Q33" i="13"/>
  <c r="Q34" i="13"/>
  <c r="P35" i="13"/>
  <c r="P36" i="13"/>
  <c r="Z40" i="13"/>
  <c r="Z39" i="13"/>
  <c r="X41" i="13"/>
  <c r="X42" i="13"/>
  <c r="Y40" i="13"/>
  <c r="Y39" i="13"/>
  <c r="AI45" i="13"/>
  <c r="AI46" i="13"/>
  <c r="AF47" i="13"/>
  <c r="AF48" i="13"/>
  <c r="AF49" i="13" s="1"/>
  <c r="AE46" i="13"/>
  <c r="AE45" i="13"/>
  <c r="AF45" i="13"/>
  <c r="AA42" i="13"/>
  <c r="AA41" i="13"/>
  <c r="AB47" i="13"/>
  <c r="AB48" i="13"/>
  <c r="AB49" i="13" s="1"/>
  <c r="AB45" i="13"/>
  <c r="AC43" i="13"/>
  <c r="AC44" i="13"/>
  <c r="J64" i="6"/>
  <c r="C22" i="5" s="1"/>
  <c r="M6" i="6"/>
  <c r="I35" i="8" s="1"/>
  <c r="M40" i="8" l="1"/>
  <c r="L40" i="8"/>
  <c r="I40" i="8"/>
  <c r="K40" i="8"/>
  <c r="V40" i="13"/>
  <c r="V39" i="13"/>
  <c r="N33" i="13"/>
  <c r="N34" i="13"/>
  <c r="U41" i="13"/>
  <c r="C35" i="13"/>
  <c r="C36" i="13"/>
  <c r="D33" i="13"/>
  <c r="D34" i="13"/>
  <c r="E33" i="13"/>
  <c r="E34" i="13"/>
  <c r="H34" i="13"/>
  <c r="H33" i="13"/>
  <c r="F35" i="13"/>
  <c r="F36" i="13"/>
  <c r="G33" i="13"/>
  <c r="G34" i="13"/>
  <c r="L35" i="13"/>
  <c r="L36" i="13"/>
  <c r="M34" i="13"/>
  <c r="M33" i="13"/>
  <c r="W41" i="13"/>
  <c r="W42" i="13"/>
  <c r="U43" i="13"/>
  <c r="U44" i="13"/>
  <c r="T38" i="13"/>
  <c r="T37" i="13"/>
  <c r="S38" i="13"/>
  <c r="S37" i="13"/>
  <c r="R40" i="13"/>
  <c r="R39" i="13"/>
  <c r="I34" i="13"/>
  <c r="I33" i="13"/>
  <c r="K33" i="13"/>
  <c r="K34" i="13"/>
  <c r="J34" i="13"/>
  <c r="J33" i="13"/>
  <c r="P38" i="13"/>
  <c r="P37" i="13"/>
  <c r="O37" i="13"/>
  <c r="O38" i="13"/>
  <c r="Q36" i="13"/>
  <c r="Q35" i="13"/>
  <c r="Y42" i="13"/>
  <c r="Z42" i="13"/>
  <c r="Z41" i="13"/>
  <c r="X44" i="13"/>
  <c r="X46" i="13" s="1"/>
  <c r="X43" i="13"/>
  <c r="Y41" i="13"/>
  <c r="AI48" i="13"/>
  <c r="AI49" i="13" s="1"/>
  <c r="AI47" i="13"/>
  <c r="AE48" i="13"/>
  <c r="AE49" i="13" s="1"/>
  <c r="AE47" i="13"/>
  <c r="AA43" i="13"/>
  <c r="AA44" i="13"/>
  <c r="AC46" i="13"/>
  <c r="AC45" i="13"/>
  <c r="L6" i="6"/>
  <c r="H35" i="8" s="1"/>
  <c r="K6" i="6"/>
  <c r="J6" i="6"/>
  <c r="G62" i="9"/>
  <c r="H40" i="8" l="1"/>
  <c r="E6" i="6"/>
  <c r="N36" i="13"/>
  <c r="N35" i="13"/>
  <c r="V41" i="13"/>
  <c r="V42" i="13"/>
  <c r="D35" i="13"/>
  <c r="D36" i="13"/>
  <c r="E36" i="13"/>
  <c r="E35" i="13"/>
  <c r="C37" i="13"/>
  <c r="C38" i="13"/>
  <c r="F37" i="13"/>
  <c r="F38" i="13"/>
  <c r="G35" i="13"/>
  <c r="G36" i="13"/>
  <c r="H36" i="13"/>
  <c r="H35" i="13"/>
  <c r="M36" i="13"/>
  <c r="M35" i="13"/>
  <c r="L38" i="13"/>
  <c r="L37" i="13"/>
  <c r="U46" i="13"/>
  <c r="U45" i="13"/>
  <c r="W43" i="13"/>
  <c r="W44" i="13"/>
  <c r="S39" i="13"/>
  <c r="S40" i="13"/>
  <c r="R42" i="13"/>
  <c r="R44" i="13" s="1"/>
  <c r="R41" i="13"/>
  <c r="T39" i="13"/>
  <c r="T40" i="13"/>
  <c r="K35" i="13"/>
  <c r="K36" i="13"/>
  <c r="J35" i="13"/>
  <c r="J36" i="13"/>
  <c r="I36" i="13"/>
  <c r="I35" i="13"/>
  <c r="O40" i="13"/>
  <c r="O39" i="13"/>
  <c r="Q38" i="13"/>
  <c r="Q37" i="13"/>
  <c r="P40" i="13"/>
  <c r="P39" i="13"/>
  <c r="Z44" i="13"/>
  <c r="Z43" i="13"/>
  <c r="X47" i="13"/>
  <c r="X48" i="13"/>
  <c r="X49" i="13" s="1"/>
  <c r="X45" i="13"/>
  <c r="Y44" i="13"/>
  <c r="Y43" i="13"/>
  <c r="AA45" i="13"/>
  <c r="AA46" i="13"/>
  <c r="AC48" i="13"/>
  <c r="AC47" i="13"/>
  <c r="D77" i="1"/>
  <c r="C9" i="13"/>
  <c r="B2" i="6" l="1"/>
  <c r="B2" i="3"/>
  <c r="B2" i="5"/>
  <c r="B2" i="8"/>
  <c r="B2" i="13"/>
  <c r="V44" i="13"/>
  <c r="V43" i="13"/>
  <c r="N37" i="13"/>
  <c r="N38" i="13"/>
  <c r="D37" i="13"/>
  <c r="D38" i="13"/>
  <c r="E38" i="13"/>
  <c r="E37" i="13"/>
  <c r="C40" i="13"/>
  <c r="C39" i="13"/>
  <c r="G38" i="13"/>
  <c r="G37" i="13"/>
  <c r="F40" i="13"/>
  <c r="F39" i="13"/>
  <c r="H38" i="13"/>
  <c r="H37" i="13"/>
  <c r="M37" i="13"/>
  <c r="M38" i="13"/>
  <c r="L40" i="13"/>
  <c r="L39" i="13"/>
  <c r="U47" i="13"/>
  <c r="U48" i="13"/>
  <c r="U49" i="13" s="1"/>
  <c r="W46" i="13"/>
  <c r="W45" i="13"/>
  <c r="R45" i="13"/>
  <c r="R46" i="13"/>
  <c r="S42" i="13"/>
  <c r="S41" i="13"/>
  <c r="T41" i="13"/>
  <c r="T42" i="13"/>
  <c r="R43" i="13"/>
  <c r="J37" i="13"/>
  <c r="J38" i="13"/>
  <c r="K38" i="13"/>
  <c r="K37" i="13"/>
  <c r="I37" i="13"/>
  <c r="I38" i="13"/>
  <c r="P42" i="13"/>
  <c r="P41" i="13"/>
  <c r="Q39" i="13"/>
  <c r="Q40" i="13"/>
  <c r="Q42" i="13" s="1"/>
  <c r="O41" i="13"/>
  <c r="O42" i="13"/>
  <c r="Z45" i="13"/>
  <c r="Z46" i="13"/>
  <c r="Y45" i="13"/>
  <c r="Y46" i="13"/>
  <c r="AA47" i="13"/>
  <c r="AA48" i="13"/>
  <c r="AA49" i="13" s="1"/>
  <c r="AC49" i="13"/>
  <c r="G23" i="11"/>
  <c r="H23" i="11"/>
  <c r="I23" i="11"/>
  <c r="J23" i="11"/>
  <c r="K23" i="11"/>
  <c r="L23" i="11"/>
  <c r="M23" i="11"/>
  <c r="N23" i="11"/>
  <c r="O23" i="11"/>
  <c r="P23" i="11"/>
  <c r="Q23" i="11"/>
  <c r="R23" i="11"/>
  <c r="S23" i="11"/>
  <c r="T23" i="11"/>
  <c r="U23" i="11"/>
  <c r="V23" i="11"/>
  <c r="W23" i="11"/>
  <c r="X23" i="11"/>
  <c r="Y23" i="11"/>
  <c r="Z23" i="11"/>
  <c r="AA23" i="11"/>
  <c r="AB23" i="11"/>
  <c r="AC23" i="11"/>
  <c r="AD23" i="11"/>
  <c r="AE23" i="11"/>
  <c r="AF23" i="11"/>
  <c r="AG23" i="11"/>
  <c r="AH23" i="11"/>
  <c r="AI23" i="11"/>
  <c r="AJ23" i="11"/>
  <c r="AK23" i="11"/>
  <c r="AL23" i="11"/>
  <c r="AM23" i="11"/>
  <c r="AN23" i="11"/>
  <c r="AO23" i="11"/>
  <c r="AP23" i="11"/>
  <c r="AQ23" i="11"/>
  <c r="AR23" i="11"/>
  <c r="AS23" i="11"/>
  <c r="AT23" i="11"/>
  <c r="AU23" i="11"/>
  <c r="AV23" i="11"/>
  <c r="AW23" i="11"/>
  <c r="AX23" i="11"/>
  <c r="AY23" i="11"/>
  <c r="AZ23" i="11"/>
  <c r="BA23" i="11"/>
  <c r="Q41" i="13" l="1"/>
  <c r="N40" i="13"/>
  <c r="N39" i="13"/>
  <c r="V45" i="13"/>
  <c r="V46" i="13"/>
  <c r="E40" i="13"/>
  <c r="E42" i="13" s="1"/>
  <c r="E39" i="13"/>
  <c r="D39" i="13"/>
  <c r="D40" i="13"/>
  <c r="C42" i="13"/>
  <c r="C41" i="13"/>
  <c r="F42" i="13"/>
  <c r="F44" i="13" s="1"/>
  <c r="F41" i="13"/>
  <c r="H39" i="13"/>
  <c r="H40" i="13"/>
  <c r="G40" i="13"/>
  <c r="G39" i="13"/>
  <c r="L42" i="13"/>
  <c r="L41" i="13"/>
  <c r="M40" i="13"/>
  <c r="M42" i="13" s="1"/>
  <c r="M39" i="13"/>
  <c r="W47" i="13"/>
  <c r="W48" i="13"/>
  <c r="W49" i="13" s="1"/>
  <c r="S44" i="13"/>
  <c r="S43" i="13"/>
  <c r="T44" i="13"/>
  <c r="T46" i="13" s="1"/>
  <c r="T43" i="13"/>
  <c r="R48" i="13"/>
  <c r="R49" i="13" s="1"/>
  <c r="R47" i="13"/>
  <c r="I39" i="13"/>
  <c r="I40" i="13"/>
  <c r="K40" i="13"/>
  <c r="K39" i="13"/>
  <c r="J40" i="13"/>
  <c r="J39" i="13"/>
  <c r="Q44" i="13"/>
  <c r="Q43" i="13"/>
  <c r="O43" i="13"/>
  <c r="O44" i="13"/>
  <c r="P43" i="13"/>
  <c r="P44" i="13"/>
  <c r="P46" i="13" s="1"/>
  <c r="Z48" i="13"/>
  <c r="Z49" i="13" s="1"/>
  <c r="Z47" i="13"/>
  <c r="Y48" i="13"/>
  <c r="Y47" i="13"/>
  <c r="D8" i="11"/>
  <c r="D4" i="11"/>
  <c r="E4" i="11"/>
  <c r="E8" i="11"/>
  <c r="AP30" i="11"/>
  <c r="AQ30" i="11"/>
  <c r="AR30" i="11"/>
  <c r="AS30" i="11"/>
  <c r="AT30" i="11"/>
  <c r="AU30" i="11"/>
  <c r="AV30" i="11"/>
  <c r="AW30" i="11"/>
  <c r="AX30" i="11"/>
  <c r="AY30" i="11"/>
  <c r="AZ30" i="11"/>
  <c r="BA30" i="11"/>
  <c r="AP29" i="11"/>
  <c r="AQ29" i="11"/>
  <c r="AR29" i="11"/>
  <c r="AS29" i="11"/>
  <c r="AT29" i="11"/>
  <c r="AU29" i="11"/>
  <c r="AV29" i="11"/>
  <c r="AW29" i="11"/>
  <c r="AX29" i="11"/>
  <c r="AY29" i="11"/>
  <c r="AZ29" i="11"/>
  <c r="BA29" i="11"/>
  <c r="G13" i="11"/>
  <c r="H13" i="11"/>
  <c r="I13" i="11"/>
  <c r="J13" i="11"/>
  <c r="K13" i="11"/>
  <c r="L13" i="11"/>
  <c r="M13" i="11"/>
  <c r="N13" i="11"/>
  <c r="O13" i="11"/>
  <c r="P13" i="11"/>
  <c r="Q13" i="11"/>
  <c r="R13" i="11"/>
  <c r="S13" i="11"/>
  <c r="T13" i="11"/>
  <c r="U13" i="11"/>
  <c r="V13" i="11"/>
  <c r="W13" i="11"/>
  <c r="X13" i="11"/>
  <c r="Y13" i="11"/>
  <c r="Z13" i="11"/>
  <c r="AA13" i="11"/>
  <c r="AB13" i="11"/>
  <c r="AC13" i="11"/>
  <c r="AD13" i="11"/>
  <c r="AE13" i="11"/>
  <c r="AF13" i="11"/>
  <c r="AG13" i="11"/>
  <c r="AH13" i="11"/>
  <c r="AI13" i="11"/>
  <c r="F13" i="11"/>
  <c r="E16" i="11" l="1"/>
  <c r="V48" i="13"/>
  <c r="V49" i="13" s="1"/>
  <c r="V47" i="13"/>
  <c r="N42" i="13"/>
  <c r="N41" i="13"/>
  <c r="C44" i="13"/>
  <c r="C43" i="13"/>
  <c r="E44" i="13"/>
  <c r="E43" i="13"/>
  <c r="D41" i="13"/>
  <c r="D42" i="13"/>
  <c r="E41" i="13"/>
  <c r="G42" i="13"/>
  <c r="G41" i="13"/>
  <c r="F46" i="13"/>
  <c r="F45" i="13"/>
  <c r="H41" i="13"/>
  <c r="H42" i="13"/>
  <c r="F43" i="13"/>
  <c r="M44" i="13"/>
  <c r="M43" i="13"/>
  <c r="M41" i="13"/>
  <c r="L43" i="13"/>
  <c r="L44" i="13"/>
  <c r="T48" i="13"/>
  <c r="T49" i="13" s="1"/>
  <c r="T47" i="13"/>
  <c r="T45" i="13"/>
  <c r="S46" i="13"/>
  <c r="S45" i="13"/>
  <c r="J42" i="13"/>
  <c r="J41" i="13"/>
  <c r="I42" i="13"/>
  <c r="K42" i="13"/>
  <c r="K41" i="13"/>
  <c r="I41" i="13"/>
  <c r="P47" i="13"/>
  <c r="P48" i="13"/>
  <c r="P49" i="13" s="1"/>
  <c r="O46" i="13"/>
  <c r="O45" i="13"/>
  <c r="P45" i="13"/>
  <c r="Q45" i="13"/>
  <c r="Q46" i="13"/>
  <c r="Y49" i="13"/>
  <c r="D16" i="11"/>
  <c r="AY27" i="11"/>
  <c r="AU27" i="11"/>
  <c r="AQ27" i="11"/>
  <c r="AX27" i="11"/>
  <c r="AT27" i="11"/>
  <c r="AP27" i="11"/>
  <c r="AZ27" i="11"/>
  <c r="AV27" i="11"/>
  <c r="AR27" i="11"/>
  <c r="BA27" i="11"/>
  <c r="AW27" i="11"/>
  <c r="AS27" i="11"/>
  <c r="N44" i="13" l="1"/>
  <c r="N43" i="13"/>
  <c r="E45" i="13"/>
  <c r="E46" i="13"/>
  <c r="D43" i="13"/>
  <c r="D44" i="13"/>
  <c r="C46" i="13"/>
  <c r="C45" i="13"/>
  <c r="F48" i="13"/>
  <c r="F49" i="13" s="1"/>
  <c r="F47" i="13"/>
  <c r="H44" i="13"/>
  <c r="H43" i="13"/>
  <c r="G43" i="13"/>
  <c r="G44" i="13"/>
  <c r="L45" i="13"/>
  <c r="L46" i="13"/>
  <c r="M46" i="13"/>
  <c r="M45" i="13"/>
  <c r="S48" i="13"/>
  <c r="S49" i="13" s="1"/>
  <c r="S47" i="13"/>
  <c r="I44" i="13"/>
  <c r="I43" i="13"/>
  <c r="K43" i="13"/>
  <c r="K44" i="13"/>
  <c r="J43" i="13"/>
  <c r="J44" i="13"/>
  <c r="Q48" i="13"/>
  <c r="Q49" i="13" s="1"/>
  <c r="Q47" i="13"/>
  <c r="O47" i="13"/>
  <c r="O48" i="13"/>
  <c r="K16" i="5"/>
  <c r="L16" i="5"/>
  <c r="M16" i="5"/>
  <c r="N16" i="5"/>
  <c r="O16" i="5"/>
  <c r="P16" i="5"/>
  <c r="Q16" i="5"/>
  <c r="R16" i="5"/>
  <c r="S16" i="5"/>
  <c r="T16" i="5"/>
  <c r="U16" i="5"/>
  <c r="V16" i="5"/>
  <c r="W16" i="5"/>
  <c r="X16" i="5"/>
  <c r="Y16" i="5"/>
  <c r="Z16" i="5"/>
  <c r="AA16" i="5"/>
  <c r="AB16" i="5"/>
  <c r="AC16" i="5"/>
  <c r="AD16" i="5"/>
  <c r="AE16" i="5"/>
  <c r="AF16" i="5"/>
  <c r="AG16" i="5"/>
  <c r="AH16" i="5"/>
  <c r="AI16" i="5"/>
  <c r="AJ16" i="5"/>
  <c r="AK16" i="5"/>
  <c r="AL16" i="5"/>
  <c r="AM16" i="5"/>
  <c r="AN16" i="5"/>
  <c r="AO16" i="5"/>
  <c r="AP16" i="5"/>
  <c r="AQ16" i="5"/>
  <c r="AR16" i="5"/>
  <c r="AS16" i="5"/>
  <c r="AT16" i="5"/>
  <c r="AU16" i="5"/>
  <c r="AV16" i="5"/>
  <c r="AW16" i="5"/>
  <c r="AX16" i="5"/>
  <c r="AY16" i="5"/>
  <c r="AZ16" i="5"/>
  <c r="N45" i="13" l="1"/>
  <c r="N46" i="13"/>
  <c r="D46" i="13"/>
  <c r="D45" i="13"/>
  <c r="E48" i="13"/>
  <c r="E49" i="13" s="1"/>
  <c r="E47" i="13"/>
  <c r="C48" i="13"/>
  <c r="C49" i="13" s="1"/>
  <c r="C47" i="13"/>
  <c r="H45" i="13"/>
  <c r="H46" i="13"/>
  <c r="G46" i="13"/>
  <c r="G45" i="13"/>
  <c r="M47" i="13"/>
  <c r="M48" i="13"/>
  <c r="M49" i="13" s="1"/>
  <c r="L48" i="13"/>
  <c r="L49" i="13" s="1"/>
  <c r="L47" i="13"/>
  <c r="J46" i="13"/>
  <c r="J45" i="13"/>
  <c r="K45" i="13"/>
  <c r="K46" i="13"/>
  <c r="I45" i="13"/>
  <c r="I46" i="13"/>
  <c r="O49" i="13"/>
  <c r="AO22" i="5"/>
  <c r="AP22" i="5"/>
  <c r="AQ22" i="5"/>
  <c r="AR22" i="5"/>
  <c r="AS22" i="5"/>
  <c r="AT22" i="5"/>
  <c r="AU22" i="5"/>
  <c r="AV22" i="5"/>
  <c r="AW22" i="5"/>
  <c r="AX22" i="5"/>
  <c r="AY22" i="5"/>
  <c r="AZ22" i="5"/>
  <c r="AO12" i="5"/>
  <c r="AP12" i="5"/>
  <c r="AQ12" i="5"/>
  <c r="AR12" i="5"/>
  <c r="AS12" i="5"/>
  <c r="AT12" i="5"/>
  <c r="AU12" i="5"/>
  <c r="AV12" i="5"/>
  <c r="AW12" i="5"/>
  <c r="AX12" i="5"/>
  <c r="AY12" i="5"/>
  <c r="AZ12" i="5"/>
  <c r="N47" i="13" l="1"/>
  <c r="N48" i="13"/>
  <c r="N49" i="13" s="1"/>
  <c r="D47" i="13"/>
  <c r="D48" i="13"/>
  <c r="D49" i="13" s="1"/>
  <c r="G47" i="13"/>
  <c r="G48" i="13"/>
  <c r="G49" i="13" s="1"/>
  <c r="H48" i="13"/>
  <c r="H49" i="13" s="1"/>
  <c r="H47" i="13"/>
  <c r="I48" i="13"/>
  <c r="I47" i="13"/>
  <c r="J48" i="13"/>
  <c r="J49" i="13" s="1"/>
  <c r="J47" i="13"/>
  <c r="K47" i="13"/>
  <c r="K48" i="13"/>
  <c r="K49" i="13" s="1"/>
  <c r="AW10" i="5"/>
  <c r="AW23" i="5"/>
  <c r="AO23" i="5"/>
  <c r="AZ10" i="5"/>
  <c r="AV10" i="5"/>
  <c r="AR10" i="5"/>
  <c r="AS10" i="5"/>
  <c r="AO10" i="5"/>
  <c r="AV23" i="5"/>
  <c r="AU10" i="5"/>
  <c r="AZ23" i="5"/>
  <c r="AR23" i="5"/>
  <c r="AY10" i="5"/>
  <c r="AQ10" i="5"/>
  <c r="AX23" i="5"/>
  <c r="AP23" i="5"/>
  <c r="AT23" i="5"/>
  <c r="AS23" i="5"/>
  <c r="AY23" i="5"/>
  <c r="AU23" i="5"/>
  <c r="AQ23" i="5"/>
  <c r="AX10" i="5"/>
  <c r="AT10" i="5"/>
  <c r="AP10" i="5"/>
  <c r="I49" i="13" l="1"/>
  <c r="S57" i="13"/>
  <c r="E58" i="6"/>
  <c r="E32" i="6"/>
  <c r="E31" i="6"/>
  <c r="P28" i="6" l="1"/>
  <c r="X28" i="6"/>
  <c r="AG28" i="6"/>
  <c r="AP28" i="6"/>
  <c r="T28" i="6"/>
  <c r="Q28" i="6"/>
  <c r="Y28" i="6"/>
  <c r="AH28" i="6"/>
  <c r="AO28" i="6"/>
  <c r="L28" i="6"/>
  <c r="AF28" i="6"/>
  <c r="J28" i="6"/>
  <c r="J32" i="6" s="1"/>
  <c r="J37" i="6" s="1"/>
  <c r="R28" i="6"/>
  <c r="Z28" i="6"/>
  <c r="AI28" i="6"/>
  <c r="K28" i="6"/>
  <c r="K32" i="6" s="1"/>
  <c r="AB28" i="6"/>
  <c r="AJ28" i="6"/>
  <c r="AC28" i="6"/>
  <c r="W28" i="6"/>
  <c r="S28" i="6"/>
  <c r="AK28" i="6"/>
  <c r="AN28" i="6"/>
  <c r="AA28" i="6"/>
  <c r="M28" i="6"/>
  <c r="U28" i="6"/>
  <c r="AD28" i="6"/>
  <c r="AL28" i="6"/>
  <c r="N28" i="6"/>
  <c r="V28" i="6"/>
  <c r="AE28" i="6"/>
  <c r="AM28" i="6"/>
  <c r="O28" i="6"/>
  <c r="AQ28" i="6"/>
  <c r="AS28" i="6"/>
  <c r="AR28" i="6"/>
  <c r="AU28" i="6"/>
  <c r="AT28" i="6"/>
  <c r="J62" i="6"/>
  <c r="N32" i="6" l="1"/>
  <c r="L32" i="6"/>
  <c r="M32" i="6"/>
  <c r="J24" i="6"/>
  <c r="C21" i="5"/>
  <c r="AU32" i="6"/>
  <c r="AT32" i="6"/>
  <c r="AS32" i="6"/>
  <c r="AQ32" i="6"/>
  <c r="AR32" i="6"/>
  <c r="AP32" i="6"/>
  <c r="T32" i="6"/>
  <c r="R32" i="6"/>
  <c r="P32" i="6"/>
  <c r="AA32" i="6"/>
  <c r="AF32" i="6"/>
  <c r="AK32" i="6"/>
  <c r="U32" i="6"/>
  <c r="AM32" i="6"/>
  <c r="W32" i="6"/>
  <c r="AH32" i="6"/>
  <c r="AL32" i="6"/>
  <c r="AG32" i="6"/>
  <c r="Q32" i="6"/>
  <c r="AN32" i="6"/>
  <c r="AI32" i="6"/>
  <c r="S32" i="6"/>
  <c r="Z32" i="6"/>
  <c r="AJ32" i="6"/>
  <c r="AD32" i="6"/>
  <c r="AC32" i="6"/>
  <c r="X32" i="6"/>
  <c r="AE32" i="6"/>
  <c r="O32" i="6"/>
  <c r="V32" i="6"/>
  <c r="AB32" i="6"/>
  <c r="AO32" i="6"/>
  <c r="Y32" i="6"/>
  <c r="D4" i="5" l="1"/>
  <c r="D22" i="8" l="1"/>
  <c r="D26" i="8"/>
  <c r="D7" i="8"/>
  <c r="D11" i="8"/>
  <c r="D20" i="8"/>
  <c r="D9" i="8"/>
  <c r="D25" i="8"/>
  <c r="D6" i="8"/>
  <c r="D14" i="8"/>
  <c r="D19" i="8"/>
  <c r="D23" i="8"/>
  <c r="D27" i="8"/>
  <c r="D8" i="8"/>
  <c r="D12" i="8"/>
  <c r="D24" i="8"/>
  <c r="D28" i="8"/>
  <c r="D13" i="8"/>
  <c r="D21" i="8"/>
  <c r="D10" i="8"/>
  <c r="D18" i="8"/>
  <c r="F6" i="11"/>
  <c r="F4" i="11" s="1"/>
  <c r="E4" i="5"/>
  <c r="D5" i="8"/>
  <c r="D15" i="8" l="1"/>
  <c r="D30" i="8"/>
  <c r="E7" i="5"/>
  <c r="E8" i="5"/>
  <c r="D29" i="8"/>
  <c r="G6" i="11"/>
  <c r="G4" i="11" s="1"/>
  <c r="H6" i="11"/>
  <c r="H4" i="11" s="1"/>
  <c r="F4" i="5"/>
  <c r="F8" i="5" s="1"/>
  <c r="J38" i="8" l="1"/>
  <c r="I38" i="8"/>
  <c r="K38" i="8"/>
  <c r="M38" i="8"/>
  <c r="L38" i="8"/>
  <c r="H38" i="8"/>
  <c r="D31" i="8"/>
  <c r="J36" i="8" s="1"/>
  <c r="J37" i="8" s="1"/>
  <c r="F12" i="11"/>
  <c r="E6" i="5"/>
  <c r="F7" i="5"/>
  <c r="G12" i="11" s="1"/>
  <c r="G4" i="5"/>
  <c r="G8" i="5" s="1"/>
  <c r="K36" i="8" l="1"/>
  <c r="K37" i="8" s="1"/>
  <c r="I36" i="8"/>
  <c r="I37" i="8" s="1"/>
  <c r="H36" i="8"/>
  <c r="H37" i="8" s="1"/>
  <c r="M36" i="8"/>
  <c r="M37" i="8" s="1"/>
  <c r="J39" i="8"/>
  <c r="M39" i="8"/>
  <c r="I39" i="8"/>
  <c r="K39" i="8"/>
  <c r="L39" i="8"/>
  <c r="H39" i="8"/>
  <c r="L36" i="8"/>
  <c r="L37" i="8" s="1"/>
  <c r="I6" i="11"/>
  <c r="I4" i="11" s="1"/>
  <c r="G7" i="5"/>
  <c r="H12" i="11" s="1"/>
  <c r="H4" i="5"/>
  <c r="H8" i="5" l="1"/>
  <c r="J6" i="11"/>
  <c r="J4" i="11" s="1"/>
  <c r="H7" i="5"/>
  <c r="I12" i="11" s="1"/>
  <c r="K6" i="11"/>
  <c r="K4" i="11" s="1"/>
  <c r="I4" i="5"/>
  <c r="I8" i="5" l="1"/>
  <c r="I7" i="5"/>
  <c r="J12" i="11" s="1"/>
  <c r="L6" i="11"/>
  <c r="L4" i="11" s="1"/>
  <c r="J4" i="5"/>
  <c r="J8" i="5" s="1"/>
  <c r="J7" i="5" l="1"/>
  <c r="K12" i="11" s="1"/>
  <c r="M6" i="11"/>
  <c r="M4" i="11" s="1"/>
  <c r="K4" i="5"/>
  <c r="K8" i="5" s="1"/>
  <c r="K7" i="5" l="1"/>
  <c r="L12" i="11" s="1"/>
  <c r="N6" i="11"/>
  <c r="N4" i="11" s="1"/>
  <c r="L4" i="5"/>
  <c r="L8" i="5" s="1"/>
  <c r="L7" i="5" l="1"/>
  <c r="M12" i="11" s="1"/>
  <c r="O6" i="11"/>
  <c r="O4" i="11" s="1"/>
  <c r="M4" i="5"/>
  <c r="M8" i="5" s="1"/>
  <c r="M7" i="5" l="1"/>
  <c r="N12" i="11" s="1"/>
  <c r="P6" i="11"/>
  <c r="P4" i="11" s="1"/>
  <c r="N4" i="5"/>
  <c r="N8" i="5" s="1"/>
  <c r="N7" i="5" l="1"/>
  <c r="O12" i="11" s="1"/>
  <c r="Q6" i="11"/>
  <c r="Q4" i="11" s="1"/>
  <c r="O4" i="5"/>
  <c r="O8" i="5" s="1"/>
  <c r="O7" i="5" l="1"/>
  <c r="P12" i="11" s="1"/>
  <c r="R6" i="11"/>
  <c r="R4" i="11" s="1"/>
  <c r="P4" i="5"/>
  <c r="P8" i="5" s="1"/>
  <c r="P7" i="5" l="1"/>
  <c r="Q12" i="11" s="1"/>
  <c r="S6" i="11"/>
  <c r="S4" i="11" s="1"/>
  <c r="Q4" i="5"/>
  <c r="Q8" i="5" s="1"/>
  <c r="Q7" i="5" l="1"/>
  <c r="R12" i="11" s="1"/>
  <c r="T6" i="11"/>
  <c r="T4" i="11" s="1"/>
  <c r="R4" i="5"/>
  <c r="R8" i="5" s="1"/>
  <c r="R7" i="5" l="1"/>
  <c r="S12" i="11" s="1"/>
  <c r="U6" i="11"/>
  <c r="U4" i="11" s="1"/>
  <c r="S4" i="5"/>
  <c r="S8" i="5" s="1"/>
  <c r="S7" i="5" l="1"/>
  <c r="T12" i="11" s="1"/>
  <c r="V6" i="11"/>
  <c r="V4" i="11" s="1"/>
  <c r="T4" i="5"/>
  <c r="T8" i="5" s="1"/>
  <c r="T7" i="5" l="1"/>
  <c r="U12" i="11" s="1"/>
  <c r="W6" i="11"/>
  <c r="W4" i="11" s="1"/>
  <c r="U4" i="5"/>
  <c r="U8" i="5" s="1"/>
  <c r="U7" i="5" l="1"/>
  <c r="V12" i="11" s="1"/>
  <c r="X6" i="11"/>
  <c r="X4" i="11" s="1"/>
  <c r="V4" i="5"/>
  <c r="V8" i="5" s="1"/>
  <c r="V7" i="5" l="1"/>
  <c r="W12" i="11" s="1"/>
  <c r="Y6" i="11"/>
  <c r="Y4" i="11" s="1"/>
  <c r="W4" i="5"/>
  <c r="W8" i="5" s="1"/>
  <c r="W7" i="5" l="1"/>
  <c r="X12" i="11" s="1"/>
  <c r="Z6" i="11"/>
  <c r="Z4" i="11" s="1"/>
  <c r="X4" i="5"/>
  <c r="X8" i="5" s="1"/>
  <c r="X7" i="5" l="1"/>
  <c r="Y12" i="11" s="1"/>
  <c r="AA6" i="11"/>
  <c r="AA4" i="11" s="1"/>
  <c r="Y4" i="5"/>
  <c r="Y8" i="5" s="1"/>
  <c r="Y7" i="5" l="1"/>
  <c r="Z12" i="11" s="1"/>
  <c r="AB6" i="11"/>
  <c r="AB4" i="11" s="1"/>
  <c r="Z4" i="5"/>
  <c r="Z8" i="5" s="1"/>
  <c r="Z7" i="5" l="1"/>
  <c r="AA12" i="11" s="1"/>
  <c r="AC6" i="11"/>
  <c r="AC4" i="11" s="1"/>
  <c r="AA4" i="5"/>
  <c r="AA8" i="5" s="1"/>
  <c r="AA7" i="5" l="1"/>
  <c r="AB12" i="11" s="1"/>
  <c r="AD6" i="11"/>
  <c r="AD4" i="11" s="1"/>
  <c r="AB4" i="5"/>
  <c r="AB8" i="5" s="1"/>
  <c r="AB7" i="5" l="1"/>
  <c r="AC12" i="11" s="1"/>
  <c r="AE6" i="11"/>
  <c r="AE4" i="11" s="1"/>
  <c r="AC4" i="5"/>
  <c r="AC8" i="5" s="1"/>
  <c r="AC7" i="5" l="1"/>
  <c r="AD12" i="11" s="1"/>
  <c r="AF6" i="11"/>
  <c r="AF4" i="11" s="1"/>
  <c r="AD4" i="5"/>
  <c r="AD8" i="5" s="1"/>
  <c r="AD7" i="5" l="1"/>
  <c r="AE12" i="11" s="1"/>
  <c r="AG6" i="11"/>
  <c r="AG4" i="11" s="1"/>
  <c r="AE4" i="5"/>
  <c r="AE8" i="5" s="1"/>
  <c r="AE7" i="5" l="1"/>
  <c r="AF12" i="11" s="1"/>
  <c r="AH6" i="11"/>
  <c r="AH4" i="11" s="1"/>
  <c r="AF4" i="5"/>
  <c r="AF8" i="5" s="1"/>
  <c r="AF7" i="5" l="1"/>
  <c r="AG12" i="11" s="1"/>
  <c r="AI6" i="11"/>
  <c r="AI4" i="11" s="1"/>
  <c r="AG4" i="5"/>
  <c r="AG8" i="5" s="1"/>
  <c r="AG7" i="5" l="1"/>
  <c r="AH12" i="11" s="1"/>
  <c r="AJ6" i="11"/>
  <c r="AJ4" i="11" s="1"/>
  <c r="AH4" i="5"/>
  <c r="AH8" i="5" s="1"/>
  <c r="AH7" i="5" l="1"/>
  <c r="AI12" i="11" s="1"/>
  <c r="AK6" i="11"/>
  <c r="AK4" i="11" s="1"/>
  <c r="AI4" i="5"/>
  <c r="AI8" i="5" s="1"/>
  <c r="AI9" i="5" l="1"/>
  <c r="AJ13" i="11" s="1"/>
  <c r="AI7" i="5"/>
  <c r="AJ12" i="11" s="1"/>
  <c r="AL6" i="11"/>
  <c r="AL4" i="11" s="1"/>
  <c r="AJ4" i="5"/>
  <c r="AJ8" i="5" s="1"/>
  <c r="AJ7" i="5" l="1"/>
  <c r="AK12" i="11" s="1"/>
  <c r="AJ9" i="5"/>
  <c r="AK13" i="11" s="1"/>
  <c r="AM6" i="11"/>
  <c r="AM4" i="11" s="1"/>
  <c r="AK4" i="5"/>
  <c r="AK8" i="5" s="1"/>
  <c r="AK9" i="5" l="1"/>
  <c r="AL13" i="11" s="1"/>
  <c r="AK7" i="5"/>
  <c r="AL12" i="11" s="1"/>
  <c r="AN6" i="11"/>
  <c r="AN4" i="11" s="1"/>
  <c r="AL4" i="5"/>
  <c r="AL8" i="5" s="1"/>
  <c r="AO6" i="11" l="1"/>
  <c r="AO4" i="11" s="1"/>
  <c r="AM4" i="5"/>
  <c r="AM8" i="5" s="1"/>
  <c r="AL9" i="5"/>
  <c r="AM13" i="11" s="1"/>
  <c r="AL7" i="5"/>
  <c r="AM12" i="11" s="1"/>
  <c r="AP6" i="11" l="1"/>
  <c r="AP4" i="11" s="1"/>
  <c r="AN4" i="5"/>
  <c r="AN8" i="5" s="1"/>
  <c r="AM9" i="5"/>
  <c r="AN13" i="11" s="1"/>
  <c r="AM7" i="5"/>
  <c r="AN12" i="11" s="1"/>
  <c r="F11" i="11" l="1"/>
  <c r="G11" i="11"/>
  <c r="F10" i="11"/>
  <c r="AN7" i="5"/>
  <c r="AO12" i="11" s="1"/>
  <c r="AN9" i="5"/>
  <c r="AO13" i="11" s="1"/>
  <c r="AQ6" i="11"/>
  <c r="AQ4" i="11" s="1"/>
  <c r="AO4" i="5"/>
  <c r="AO8" i="5" s="1"/>
  <c r="F8" i="11" l="1"/>
  <c r="F16" i="11" s="1"/>
  <c r="F17" i="11" s="1"/>
  <c r="G6" i="5"/>
  <c r="I10" i="11"/>
  <c r="N10" i="11"/>
  <c r="H6" i="5"/>
  <c r="H11" i="11"/>
  <c r="H10" i="11"/>
  <c r="F6" i="5"/>
  <c r="Y10" i="11"/>
  <c r="P10" i="11"/>
  <c r="S10" i="11"/>
  <c r="AB10" i="11"/>
  <c r="Q10" i="11"/>
  <c r="U10" i="11"/>
  <c r="T10" i="11"/>
  <c r="V10" i="11"/>
  <c r="K10" i="11"/>
  <c r="M10" i="11"/>
  <c r="AC10" i="11"/>
  <c r="W10" i="11"/>
  <c r="X10" i="11"/>
  <c r="AH10" i="11"/>
  <c r="AM10" i="11"/>
  <c r="Z10" i="11"/>
  <c r="AL10" i="11"/>
  <c r="L10" i="11"/>
  <c r="AA10" i="11"/>
  <c r="AF10" i="11"/>
  <c r="O10" i="11"/>
  <c r="AD10" i="11"/>
  <c r="AG10" i="11"/>
  <c r="AJ10" i="11"/>
  <c r="J10" i="11"/>
  <c r="AI10" i="11"/>
  <c r="G10" i="11"/>
  <c r="G8" i="11" s="1"/>
  <c r="G16" i="11" s="1"/>
  <c r="G17" i="11" s="1"/>
  <c r="R10" i="11"/>
  <c r="AK10" i="11"/>
  <c r="AN10" i="11"/>
  <c r="AE10" i="11"/>
  <c r="AO7" i="5"/>
  <c r="AP12" i="11" s="1"/>
  <c r="AO9" i="5"/>
  <c r="AP13" i="11" s="1"/>
  <c r="AR6" i="11"/>
  <c r="AR4" i="11" s="1"/>
  <c r="AP4" i="5"/>
  <c r="AP8" i="5" s="1"/>
  <c r="H8" i="11" l="1"/>
  <c r="H16" i="11" s="1"/>
  <c r="H17" i="11" s="1"/>
  <c r="I11" i="11"/>
  <c r="I8" i="11" s="1"/>
  <c r="I16" i="11" s="1"/>
  <c r="I17" i="11" s="1"/>
  <c r="AO10" i="11"/>
  <c r="AS6" i="11"/>
  <c r="AS4" i="11" s="1"/>
  <c r="AQ4" i="5"/>
  <c r="AQ8" i="5" s="1"/>
  <c r="AP9" i="5"/>
  <c r="AQ13" i="11" s="1"/>
  <c r="AP7" i="5"/>
  <c r="AQ12" i="11" s="1"/>
  <c r="J11" i="11" l="1"/>
  <c r="J8" i="11" s="1"/>
  <c r="J16" i="11" s="1"/>
  <c r="J17" i="11" s="1"/>
  <c r="I6" i="5"/>
  <c r="AP10" i="11"/>
  <c r="AQ7" i="5"/>
  <c r="AR12" i="11" s="1"/>
  <c r="AQ9" i="5"/>
  <c r="AR13" i="11" s="1"/>
  <c r="AT6" i="11"/>
  <c r="AT4" i="11" s="1"/>
  <c r="AR4" i="5"/>
  <c r="AR8" i="5" s="1"/>
  <c r="K11" i="11" l="1"/>
  <c r="K8" i="11" s="1"/>
  <c r="K16" i="11" s="1"/>
  <c r="K17" i="11" s="1"/>
  <c r="J6" i="5"/>
  <c r="AQ10" i="11"/>
  <c r="AU6" i="11"/>
  <c r="AU4" i="11" s="1"/>
  <c r="AS4" i="5"/>
  <c r="AS8" i="5" s="1"/>
  <c r="AR9" i="5"/>
  <c r="AS13" i="11" s="1"/>
  <c r="AR7" i="5"/>
  <c r="L11" i="11" l="1"/>
  <c r="L8" i="11" s="1"/>
  <c r="L16" i="11" s="1"/>
  <c r="L17" i="11" s="1"/>
  <c r="K6" i="5"/>
  <c r="AR10" i="11"/>
  <c r="AS12" i="11"/>
  <c r="AV6" i="11"/>
  <c r="AV4" i="11" s="1"/>
  <c r="AT4" i="5"/>
  <c r="AT8" i="5" s="1"/>
  <c r="AS9" i="5"/>
  <c r="AT13" i="11" s="1"/>
  <c r="AS7" i="5"/>
  <c r="AT12" i="11" s="1"/>
  <c r="M11" i="11" l="1"/>
  <c r="M8" i="11" s="1"/>
  <c r="M16" i="11" s="1"/>
  <c r="M17" i="11" s="1"/>
  <c r="L6" i="5"/>
  <c r="AS10" i="11"/>
  <c r="AT7" i="5"/>
  <c r="AU12" i="11" s="1"/>
  <c r="AT9" i="5"/>
  <c r="AU13" i="11" s="1"/>
  <c r="AW6" i="11"/>
  <c r="AW4" i="11" s="1"/>
  <c r="AU4" i="5"/>
  <c r="AU8" i="5" s="1"/>
  <c r="N11" i="11" l="1"/>
  <c r="N8" i="11" s="1"/>
  <c r="N16" i="11" s="1"/>
  <c r="N17" i="11" s="1"/>
  <c r="M6" i="5"/>
  <c r="AT10" i="11"/>
  <c r="AU9" i="5"/>
  <c r="AV13" i="11" s="1"/>
  <c r="AU7" i="5"/>
  <c r="AX6" i="11"/>
  <c r="AX4" i="11" s="1"/>
  <c r="AV4" i="5"/>
  <c r="AV8" i="5" s="1"/>
  <c r="O11" i="11" l="1"/>
  <c r="O8" i="11" s="1"/>
  <c r="O16" i="11" s="1"/>
  <c r="O17" i="11" s="1"/>
  <c r="N6" i="5"/>
  <c r="AU10" i="11"/>
  <c r="AV12" i="11"/>
  <c r="AV7" i="5"/>
  <c r="AW12" i="11" s="1"/>
  <c r="AV9" i="5"/>
  <c r="AW13" i="11" s="1"/>
  <c r="AY6" i="11"/>
  <c r="AY4" i="11" s="1"/>
  <c r="AW4" i="5"/>
  <c r="AW8" i="5" s="1"/>
  <c r="P11" i="11" l="1"/>
  <c r="P8" i="11" s="1"/>
  <c r="P16" i="11" s="1"/>
  <c r="P17" i="11" s="1"/>
  <c r="O6" i="5"/>
  <c r="AV10" i="11"/>
  <c r="AW7" i="5"/>
  <c r="AX12" i="11" s="1"/>
  <c r="AW9" i="5"/>
  <c r="AX13" i="11" s="1"/>
  <c r="AZ6" i="11"/>
  <c r="AZ4" i="11" s="1"/>
  <c r="AX4" i="5"/>
  <c r="AX8" i="5" s="1"/>
  <c r="Q11" i="11" l="1"/>
  <c r="Q8" i="11" s="1"/>
  <c r="Q16" i="11" s="1"/>
  <c r="Q17" i="11" s="1"/>
  <c r="P6" i="5"/>
  <c r="AW10" i="11"/>
  <c r="AX7" i="5"/>
  <c r="AY12" i="11" s="1"/>
  <c r="AX9" i="5"/>
  <c r="AY13" i="11" s="1"/>
  <c r="AY4" i="5"/>
  <c r="AY8" i="5" s="1"/>
  <c r="R11" i="11" l="1"/>
  <c r="R8" i="11" s="1"/>
  <c r="R16" i="11" s="1"/>
  <c r="R17" i="11" s="1"/>
  <c r="Q6" i="5"/>
  <c r="AX10" i="11"/>
  <c r="AZ4" i="5"/>
  <c r="AZ8" i="5" s="1"/>
  <c r="BA6" i="11"/>
  <c r="BA4" i="11" s="1"/>
  <c r="AY9" i="5"/>
  <c r="AZ13" i="11" s="1"/>
  <c r="AY7" i="5"/>
  <c r="S11" i="11" l="1"/>
  <c r="S8" i="11" s="1"/>
  <c r="S16" i="11" s="1"/>
  <c r="S17" i="11" s="1"/>
  <c r="R6" i="5"/>
  <c r="AY10" i="11"/>
  <c r="AZ9" i="5"/>
  <c r="BA13" i="11" s="1"/>
  <c r="AZ7" i="5"/>
  <c r="BA12" i="11" s="1"/>
  <c r="AZ12" i="11"/>
  <c r="T11" i="11" l="1"/>
  <c r="T8" i="11" s="1"/>
  <c r="T16" i="11" s="1"/>
  <c r="T17" i="11" s="1"/>
  <c r="S6" i="5"/>
  <c r="AZ10" i="11"/>
  <c r="U11" i="11" l="1"/>
  <c r="U8" i="11" s="1"/>
  <c r="U16" i="11" s="1"/>
  <c r="U17" i="11" s="1"/>
  <c r="T6" i="5"/>
  <c r="BA10" i="11"/>
  <c r="V11" i="11" l="1"/>
  <c r="V8" i="11" s="1"/>
  <c r="V16" i="11" s="1"/>
  <c r="V17" i="11" s="1"/>
  <c r="U6" i="5"/>
  <c r="W11" i="11" l="1"/>
  <c r="W8" i="11" s="1"/>
  <c r="W16" i="11" s="1"/>
  <c r="W17" i="11" s="1"/>
  <c r="V6" i="5"/>
  <c r="X11" i="11" l="1"/>
  <c r="X8" i="11" s="1"/>
  <c r="X16" i="11" s="1"/>
  <c r="X17" i="11" s="1"/>
  <c r="W6" i="5"/>
  <c r="Y11" i="11" l="1"/>
  <c r="Y8" i="11" s="1"/>
  <c r="Y16" i="11" s="1"/>
  <c r="Y17" i="11" s="1"/>
  <c r="X6" i="5"/>
  <c r="Z11" i="11" l="1"/>
  <c r="Z8" i="11" s="1"/>
  <c r="Z16" i="11" s="1"/>
  <c r="Z17" i="11" s="1"/>
  <c r="Y6" i="5"/>
  <c r="AA11" i="11" l="1"/>
  <c r="AA8" i="11" s="1"/>
  <c r="AA16" i="11" s="1"/>
  <c r="AA17" i="11" s="1"/>
  <c r="Z6" i="5"/>
  <c r="AB11" i="11" l="1"/>
  <c r="AB8" i="11" s="1"/>
  <c r="AB16" i="11" s="1"/>
  <c r="AB17" i="11" s="1"/>
  <c r="AA6" i="5"/>
  <c r="AC11" i="11" l="1"/>
  <c r="AC8" i="11" s="1"/>
  <c r="AC16" i="11" s="1"/>
  <c r="AC17" i="11" s="1"/>
  <c r="AB6" i="5"/>
  <c r="AD11" i="11" l="1"/>
  <c r="AD8" i="11" s="1"/>
  <c r="AD16" i="11" s="1"/>
  <c r="AD17" i="11" s="1"/>
  <c r="AC6" i="5"/>
  <c r="AE11" i="11" l="1"/>
  <c r="AE8" i="11" s="1"/>
  <c r="AE16" i="11" s="1"/>
  <c r="AE17" i="11" s="1"/>
  <c r="AD6" i="5"/>
  <c r="AF11" i="11" l="1"/>
  <c r="AF8" i="11" s="1"/>
  <c r="AF16" i="11" s="1"/>
  <c r="AF17" i="11" s="1"/>
  <c r="AE6" i="5"/>
  <c r="AG11" i="11" l="1"/>
  <c r="AG8" i="11" s="1"/>
  <c r="AG16" i="11" s="1"/>
  <c r="AG17" i="11" s="1"/>
  <c r="AF6" i="5"/>
  <c r="AH11" i="11" l="1"/>
  <c r="AH8" i="11" s="1"/>
  <c r="AH16" i="11" s="1"/>
  <c r="AH17" i="11" s="1"/>
  <c r="AG6" i="5"/>
  <c r="AI11" i="11" l="1"/>
  <c r="AI8" i="11" s="1"/>
  <c r="AI16" i="11" s="1"/>
  <c r="AI17" i="11" s="1"/>
  <c r="AH6" i="5"/>
  <c r="AJ11" i="11" l="1"/>
  <c r="AJ8" i="11" s="1"/>
  <c r="AJ16" i="11" s="1"/>
  <c r="AI6" i="5"/>
  <c r="AJ17" i="11" l="1"/>
  <c r="AK11" i="11"/>
  <c r="AK8" i="11" s="1"/>
  <c r="AK16" i="11" s="1"/>
  <c r="AJ6" i="5"/>
  <c r="AK17" i="11" l="1"/>
  <c r="AL11" i="11"/>
  <c r="AL8" i="11" s="1"/>
  <c r="AL16" i="11" s="1"/>
  <c r="AK6" i="5"/>
  <c r="AL17" i="11" l="1"/>
  <c r="AM11" i="11"/>
  <c r="AM8" i="11" s="1"/>
  <c r="AM16" i="11" s="1"/>
  <c r="AL6" i="5"/>
  <c r="AM17" i="11" l="1"/>
  <c r="AN11" i="11"/>
  <c r="AN8" i="11" s="1"/>
  <c r="AN16" i="11" s="1"/>
  <c r="AM6" i="5"/>
  <c r="AN17" i="11" l="1"/>
  <c r="AO11" i="11"/>
  <c r="AO8" i="11" s="1"/>
  <c r="AO16" i="11" s="1"/>
  <c r="AN6" i="5"/>
  <c r="AO17" i="11" l="1"/>
  <c r="AP11" i="11"/>
  <c r="AP8" i="11" s="1"/>
  <c r="AP16" i="11" s="1"/>
  <c r="AO6" i="5"/>
  <c r="AO13" i="5" s="1"/>
  <c r="AO24" i="5" s="1"/>
  <c r="AO25" i="5" s="1"/>
  <c r="AO26" i="5" s="1"/>
  <c r="AO27" i="5" s="1"/>
  <c r="AO5" i="13" s="1"/>
  <c r="AO16" i="13" s="1"/>
  <c r="AO18" i="13" l="1"/>
  <c r="AO20" i="13" s="1"/>
  <c r="AO17" i="13"/>
  <c r="AP17" i="11"/>
  <c r="AQ11" i="11"/>
  <c r="AQ8" i="11" s="1"/>
  <c r="AQ16" i="11" s="1"/>
  <c r="AP6" i="5"/>
  <c r="AP13" i="5" s="1"/>
  <c r="AP24" i="5" s="1"/>
  <c r="AP25" i="5" s="1"/>
  <c r="AP26" i="5" s="1"/>
  <c r="AP27" i="5" s="1"/>
  <c r="AP5" i="13" s="1"/>
  <c r="AP16" i="13" s="1"/>
  <c r="AO19" i="13" l="1"/>
  <c r="AO21" i="13"/>
  <c r="AO22" i="13"/>
  <c r="AP18" i="13"/>
  <c r="AP19" i="13" s="1"/>
  <c r="AP17" i="13"/>
  <c r="AQ17" i="11"/>
  <c r="AR11" i="11"/>
  <c r="AR8" i="11" s="1"/>
  <c r="AR16" i="11" s="1"/>
  <c r="AQ6" i="5"/>
  <c r="AQ13" i="5" s="1"/>
  <c r="AQ24" i="5" s="1"/>
  <c r="AQ25" i="5" s="1"/>
  <c r="AQ26" i="5" s="1"/>
  <c r="AQ27" i="5" s="1"/>
  <c r="AQ5" i="13" s="1"/>
  <c r="AQ16" i="13" s="1"/>
  <c r="AP20" i="13" l="1"/>
  <c r="AP21" i="13" s="1"/>
  <c r="AO23" i="13"/>
  <c r="AO24" i="13"/>
  <c r="AQ18" i="13"/>
  <c r="AQ20" i="13" s="1"/>
  <c r="AQ17" i="13"/>
  <c r="AR17" i="11"/>
  <c r="AS11" i="11"/>
  <c r="AS8" i="11" s="1"/>
  <c r="AS16" i="11" s="1"/>
  <c r="AR6" i="5"/>
  <c r="AR13" i="5" s="1"/>
  <c r="AR24" i="5" s="1"/>
  <c r="AR25" i="5" s="1"/>
  <c r="AR26" i="5" s="1"/>
  <c r="AR27" i="5" s="1"/>
  <c r="AR5" i="13" s="1"/>
  <c r="AR16" i="13" s="1"/>
  <c r="AQ19" i="13" l="1"/>
  <c r="AP22" i="13"/>
  <c r="AP23" i="13" s="1"/>
  <c r="AO26" i="13"/>
  <c r="AO25" i="13"/>
  <c r="AQ21" i="13"/>
  <c r="AQ22" i="13"/>
  <c r="AR18" i="13"/>
  <c r="AR19" i="13" s="1"/>
  <c r="AR17" i="13"/>
  <c r="AS17" i="11"/>
  <c r="AT11" i="11"/>
  <c r="AT8" i="11" s="1"/>
  <c r="AT16" i="11" s="1"/>
  <c r="AS6" i="5"/>
  <c r="AS13" i="5" s="1"/>
  <c r="AS24" i="5" s="1"/>
  <c r="AS25" i="5" s="1"/>
  <c r="AS26" i="5" s="1"/>
  <c r="AS27" i="5" s="1"/>
  <c r="AS5" i="13" s="1"/>
  <c r="AS16" i="13" s="1"/>
  <c r="AO27" i="13" l="1"/>
  <c r="AO28" i="13"/>
  <c r="AP24" i="13"/>
  <c r="AP25" i="13" s="1"/>
  <c r="AR20" i="13"/>
  <c r="AR21" i="13" s="1"/>
  <c r="AQ23" i="13"/>
  <c r="AQ24" i="13"/>
  <c r="AS18" i="13"/>
  <c r="AS19" i="13" s="1"/>
  <c r="AS17" i="13"/>
  <c r="AT17" i="11"/>
  <c r="AU11" i="11"/>
  <c r="AU8" i="11" s="1"/>
  <c r="AU16" i="11" s="1"/>
  <c r="AT6" i="5"/>
  <c r="AT13" i="5" s="1"/>
  <c r="AT24" i="5" s="1"/>
  <c r="AT25" i="5" s="1"/>
  <c r="AT26" i="5" s="1"/>
  <c r="AT27" i="5" s="1"/>
  <c r="AT5" i="13" s="1"/>
  <c r="AT16" i="13" s="1"/>
  <c r="AP26" i="13" l="1"/>
  <c r="AP27" i="13" s="1"/>
  <c r="AO29" i="13"/>
  <c r="AO30" i="13"/>
  <c r="AR22" i="13"/>
  <c r="AR23" i="13" s="1"/>
  <c r="AQ26" i="13"/>
  <c r="AQ25" i="13"/>
  <c r="AS20" i="13"/>
  <c r="AS22" i="13" s="1"/>
  <c r="AT18" i="13"/>
  <c r="AT20" i="13" s="1"/>
  <c r="AT17" i="13"/>
  <c r="AU17" i="11"/>
  <c r="AV11" i="11"/>
  <c r="AV8" i="11" s="1"/>
  <c r="AV16" i="11" s="1"/>
  <c r="AU6" i="5"/>
  <c r="AU13" i="5" s="1"/>
  <c r="AU24" i="5" s="1"/>
  <c r="AU25" i="5" s="1"/>
  <c r="AU26" i="5" s="1"/>
  <c r="AU27" i="5" s="1"/>
  <c r="AU5" i="13" s="1"/>
  <c r="AU16" i="13" s="1"/>
  <c r="AP28" i="13" l="1"/>
  <c r="AP30" i="13" s="1"/>
  <c r="AQ27" i="13"/>
  <c r="AQ28" i="13"/>
  <c r="AO31" i="13"/>
  <c r="AO32" i="13"/>
  <c r="AR24" i="13"/>
  <c r="AR26" i="13" s="1"/>
  <c r="AS21" i="13"/>
  <c r="AS23" i="13"/>
  <c r="AS24" i="13"/>
  <c r="AT19" i="13"/>
  <c r="AT21" i="13"/>
  <c r="AT22" i="13"/>
  <c r="AU18" i="13"/>
  <c r="AU19" i="13" s="1"/>
  <c r="AU17" i="13"/>
  <c r="AV17" i="11"/>
  <c r="AW11" i="11"/>
  <c r="AW8" i="11" s="1"/>
  <c r="AW16" i="11" s="1"/>
  <c r="AV6" i="5"/>
  <c r="AV13" i="5" s="1"/>
  <c r="AV24" i="5" s="1"/>
  <c r="AV25" i="5" s="1"/>
  <c r="AV26" i="5" s="1"/>
  <c r="AV27" i="5" s="1"/>
  <c r="AV5" i="13" s="1"/>
  <c r="AV16" i="13" s="1"/>
  <c r="AP29" i="13" l="1"/>
  <c r="AR25" i="13"/>
  <c r="AP32" i="13"/>
  <c r="AP31" i="13"/>
  <c r="AO33" i="13"/>
  <c r="AO34" i="13"/>
  <c r="AQ29" i="13"/>
  <c r="AQ30" i="13"/>
  <c r="AR27" i="13"/>
  <c r="AR28" i="13"/>
  <c r="AS26" i="13"/>
  <c r="AS25" i="13"/>
  <c r="AT23" i="13"/>
  <c r="AT24" i="13"/>
  <c r="AU20" i="13"/>
  <c r="AU21" i="13" s="1"/>
  <c r="AV18" i="13"/>
  <c r="AV20" i="13" s="1"/>
  <c r="AV17" i="13"/>
  <c r="AW17" i="11"/>
  <c r="AX11" i="11"/>
  <c r="AX8" i="11" s="1"/>
  <c r="AX16" i="11" s="1"/>
  <c r="AW6" i="5"/>
  <c r="AW13" i="5" s="1"/>
  <c r="AW24" i="5" s="1"/>
  <c r="AW25" i="5" s="1"/>
  <c r="AW26" i="5" s="1"/>
  <c r="AW27" i="5" s="1"/>
  <c r="AW5" i="13" s="1"/>
  <c r="AW16" i="13" s="1"/>
  <c r="AR30" i="13" l="1"/>
  <c r="AR29" i="13"/>
  <c r="AO36" i="13"/>
  <c r="AO35" i="13"/>
  <c r="AS27" i="13"/>
  <c r="AS28" i="13"/>
  <c r="AQ31" i="13"/>
  <c r="AQ32" i="13"/>
  <c r="AP33" i="13"/>
  <c r="AP34" i="13"/>
  <c r="AU22" i="13"/>
  <c r="AU23" i="13" s="1"/>
  <c r="AT25" i="13"/>
  <c r="AT26" i="13"/>
  <c r="AV19" i="13"/>
  <c r="AV21" i="13"/>
  <c r="AV22" i="13"/>
  <c r="AW18" i="13"/>
  <c r="AW19" i="13" s="1"/>
  <c r="AW17" i="13"/>
  <c r="AX17" i="11"/>
  <c r="AY11" i="11"/>
  <c r="AY8" i="11" s="1"/>
  <c r="AY16" i="11" s="1"/>
  <c r="AX6" i="5"/>
  <c r="AX13" i="5" s="1"/>
  <c r="AX24" i="5" s="1"/>
  <c r="AX25" i="5" s="1"/>
  <c r="AX26" i="5" s="1"/>
  <c r="AX27" i="5" s="1"/>
  <c r="AX5" i="13" s="1"/>
  <c r="AX16" i="13" s="1"/>
  <c r="AO37" i="13" l="1"/>
  <c r="AO38" i="13"/>
  <c r="AP35" i="13"/>
  <c r="AP36" i="13"/>
  <c r="AT27" i="13"/>
  <c r="AT28" i="13"/>
  <c r="AQ34" i="13"/>
  <c r="AQ33" i="13"/>
  <c r="AS29" i="13"/>
  <c r="AS30" i="13"/>
  <c r="AR32" i="13"/>
  <c r="AR31" i="13"/>
  <c r="AU24" i="13"/>
  <c r="AU25" i="13" s="1"/>
  <c r="AV23" i="13"/>
  <c r="AV24" i="13"/>
  <c r="AW20" i="13"/>
  <c r="AW22" i="13" s="1"/>
  <c r="AX18" i="13"/>
  <c r="AX19" i="13" s="1"/>
  <c r="AX17" i="13"/>
  <c r="AY17" i="11"/>
  <c r="AZ11" i="11"/>
  <c r="AZ8" i="11" s="1"/>
  <c r="AZ16" i="11" s="1"/>
  <c r="AY6" i="5"/>
  <c r="AY13" i="5" s="1"/>
  <c r="AY24" i="5" s="1"/>
  <c r="AY25" i="5" s="1"/>
  <c r="AY26" i="5" s="1"/>
  <c r="AY27" i="5" s="1"/>
  <c r="AY5" i="13" s="1"/>
  <c r="AY16" i="13" s="1"/>
  <c r="AQ35" i="13" l="1"/>
  <c r="AQ36" i="13"/>
  <c r="AT30" i="13"/>
  <c r="AT29" i="13"/>
  <c r="AR34" i="13"/>
  <c r="AR33" i="13"/>
  <c r="AO39" i="13"/>
  <c r="AO41" i="13"/>
  <c r="AS31" i="13"/>
  <c r="AS32" i="13"/>
  <c r="AP38" i="13"/>
  <c r="AP37" i="13"/>
  <c r="AU26" i="13"/>
  <c r="AW21" i="13"/>
  <c r="AX20" i="13"/>
  <c r="AX21" i="13" s="1"/>
  <c r="AW23" i="13"/>
  <c r="AW24" i="13"/>
  <c r="AV25" i="13"/>
  <c r="AV26" i="13"/>
  <c r="AY18" i="13"/>
  <c r="AY19" i="13" s="1"/>
  <c r="AY17" i="13"/>
  <c r="AZ17" i="11"/>
  <c r="BA11" i="11"/>
  <c r="BA8" i="11" s="1"/>
  <c r="BA16" i="11" s="1"/>
  <c r="AZ6" i="5"/>
  <c r="AZ13" i="5" s="1"/>
  <c r="AZ24" i="5" s="1"/>
  <c r="AZ25" i="5" s="1"/>
  <c r="AZ26" i="5" s="1"/>
  <c r="AZ27" i="5" s="1"/>
  <c r="AV27" i="13" l="1"/>
  <c r="AV28" i="13"/>
  <c r="AP40" i="13"/>
  <c r="AP39" i="13"/>
  <c r="AS34" i="13"/>
  <c r="AS33" i="13"/>
  <c r="AT32" i="13"/>
  <c r="AT31" i="13"/>
  <c r="AU27" i="13"/>
  <c r="AU28" i="13"/>
  <c r="AQ38" i="13"/>
  <c r="AQ37" i="13"/>
  <c r="AR35" i="13"/>
  <c r="AR36" i="13"/>
  <c r="AX22" i="13"/>
  <c r="AX23" i="13" s="1"/>
  <c r="AY20" i="13"/>
  <c r="AY22" i="13" s="1"/>
  <c r="AW26" i="13"/>
  <c r="AW25" i="13"/>
  <c r="AZ5" i="13"/>
  <c r="AZ16" i="13" s="1"/>
  <c r="BA17" i="11"/>
  <c r="AW27" i="13" l="1"/>
  <c r="AW28" i="13"/>
  <c r="AQ39" i="13"/>
  <c r="AQ40" i="13"/>
  <c r="AT33" i="13"/>
  <c r="AT34" i="13"/>
  <c r="AP43" i="13"/>
  <c r="AU29" i="13"/>
  <c r="AU30" i="13"/>
  <c r="AP41" i="13"/>
  <c r="AS36" i="13"/>
  <c r="AS35" i="13"/>
  <c r="AV30" i="13"/>
  <c r="AV29" i="13"/>
  <c r="AR37" i="13"/>
  <c r="AR38" i="13"/>
  <c r="AR40" i="13" s="1"/>
  <c r="AX24" i="13"/>
  <c r="AX26" i="13" s="1"/>
  <c r="AY21" i="13"/>
  <c r="AY23" i="13"/>
  <c r="AY24" i="13"/>
  <c r="AZ18" i="13"/>
  <c r="AZ19" i="13" s="1"/>
  <c r="AZ17" i="13"/>
  <c r="AQ43" i="13" l="1"/>
  <c r="AQ41" i="13"/>
  <c r="AT36" i="13"/>
  <c r="AT35" i="13"/>
  <c r="AW29" i="13"/>
  <c r="AW30" i="13"/>
  <c r="AS37" i="13"/>
  <c r="AS38" i="13"/>
  <c r="AX27" i="13"/>
  <c r="AX28" i="13"/>
  <c r="AV32" i="13"/>
  <c r="AV31" i="13"/>
  <c r="AU31" i="13"/>
  <c r="AU32" i="13"/>
  <c r="AR39" i="13"/>
  <c r="AX25" i="13"/>
  <c r="AY26" i="13"/>
  <c r="AY25" i="13"/>
  <c r="AZ20" i="13"/>
  <c r="AZ21" i="13" s="1"/>
  <c r="AS39" i="13" l="1"/>
  <c r="AS40" i="13"/>
  <c r="AR43" i="13"/>
  <c r="AR41" i="13"/>
  <c r="AV34" i="13"/>
  <c r="AV33" i="13"/>
  <c r="AT38" i="13"/>
  <c r="AT37" i="13"/>
  <c r="AY27" i="13"/>
  <c r="AY28" i="13"/>
  <c r="AU34" i="13"/>
  <c r="AU33" i="13"/>
  <c r="AX30" i="13"/>
  <c r="AX29" i="13"/>
  <c r="AW31" i="13"/>
  <c r="AW32" i="13"/>
  <c r="AZ22" i="13"/>
  <c r="AW33" i="13" l="1"/>
  <c r="AW34" i="13"/>
  <c r="AU35" i="13"/>
  <c r="AU36" i="13"/>
  <c r="AT40" i="13"/>
  <c r="AT39" i="13"/>
  <c r="AY29" i="13"/>
  <c r="AY30" i="13"/>
  <c r="AX32" i="13"/>
  <c r="AX31" i="13"/>
  <c r="AV35" i="13"/>
  <c r="AV36" i="13"/>
  <c r="AS42" i="13"/>
  <c r="AS41" i="13"/>
  <c r="AZ23" i="13"/>
  <c r="AZ24" i="13"/>
  <c r="AU38" i="13" l="1"/>
  <c r="AU37" i="13"/>
  <c r="AT42" i="13"/>
  <c r="AT45" i="13" s="1"/>
  <c r="AW36" i="13"/>
  <c r="AW35" i="13"/>
  <c r="AS43" i="13"/>
  <c r="AS45" i="13"/>
  <c r="AX33" i="13"/>
  <c r="AX34" i="13"/>
  <c r="AV37" i="13"/>
  <c r="AV38" i="13"/>
  <c r="AY31" i="13"/>
  <c r="AY32" i="13"/>
  <c r="AT41" i="13"/>
  <c r="AZ25" i="13"/>
  <c r="AZ26" i="13"/>
  <c r="G35" i="8"/>
  <c r="G40" i="8" l="1"/>
  <c r="G36" i="8"/>
  <c r="G37" i="8" s="1"/>
  <c r="G38" i="8"/>
  <c r="G39" i="8"/>
  <c r="AT43" i="13"/>
  <c r="AV40" i="13"/>
  <c r="AV39" i="13"/>
  <c r="AY34" i="13"/>
  <c r="AY33" i="13"/>
  <c r="AX36" i="13"/>
  <c r="AX35" i="13"/>
  <c r="AZ27" i="13"/>
  <c r="AZ28" i="13"/>
  <c r="AW37" i="13"/>
  <c r="AW38" i="13"/>
  <c r="AU39" i="13"/>
  <c r="AU40" i="13"/>
  <c r="AU42" i="13" l="1"/>
  <c r="AU41" i="13"/>
  <c r="AZ30" i="13"/>
  <c r="AZ29" i="13"/>
  <c r="AY35" i="13"/>
  <c r="AY36" i="13"/>
  <c r="AW40" i="13"/>
  <c r="AW39" i="13"/>
  <c r="AX38" i="13"/>
  <c r="AX37" i="13"/>
  <c r="AV41" i="13"/>
  <c r="AV42" i="13"/>
  <c r="F35" i="8"/>
  <c r="F40" i="8" s="1"/>
  <c r="F38" i="8" l="1"/>
  <c r="AZ32" i="13"/>
  <c r="AZ31" i="13"/>
  <c r="AW42" i="13"/>
  <c r="AW41" i="13"/>
  <c r="AY38" i="13"/>
  <c r="AY37" i="13"/>
  <c r="AX40" i="13"/>
  <c r="AX41" i="13" s="1"/>
  <c r="AX39" i="13"/>
  <c r="AV43" i="13"/>
  <c r="AV44" i="13"/>
  <c r="AU45" i="13"/>
  <c r="AU43" i="13"/>
  <c r="F39" i="8"/>
  <c r="E39" i="8" l="1"/>
  <c r="E13" i="6" s="1"/>
  <c r="G19" i="6" s="1"/>
  <c r="J19" i="6" s="1"/>
  <c r="J50" i="6" s="1"/>
  <c r="J52" i="6" s="1"/>
  <c r="J53" i="6" s="1"/>
  <c r="E40" i="8"/>
  <c r="AV47" i="13"/>
  <c r="AW44" i="13"/>
  <c r="AW43" i="13"/>
  <c r="AX42" i="13"/>
  <c r="AV45" i="13"/>
  <c r="AY39" i="13"/>
  <c r="AY40" i="13"/>
  <c r="AZ34" i="13"/>
  <c r="AZ33" i="13"/>
  <c r="Q19" i="6" l="1"/>
  <c r="Q50" i="6" s="1"/>
  <c r="M19" i="6"/>
  <c r="M50" i="6" s="1"/>
  <c r="L19" i="6"/>
  <c r="L50" i="6" s="1"/>
  <c r="O19" i="6"/>
  <c r="O50" i="6" s="1"/>
  <c r="P19" i="6"/>
  <c r="P50" i="6" s="1"/>
  <c r="K19" i="6"/>
  <c r="K50" i="6" s="1"/>
  <c r="E44" i="6" s="1"/>
  <c r="N19" i="6"/>
  <c r="N50" i="6" s="1"/>
  <c r="AW47" i="13"/>
  <c r="AW45" i="13"/>
  <c r="AZ35" i="13"/>
  <c r="AZ36" i="13"/>
  <c r="AY42" i="13"/>
  <c r="AY41" i="13"/>
  <c r="AX44" i="13"/>
  <c r="AX43" i="13"/>
  <c r="E15" i="6"/>
  <c r="E11" i="6"/>
  <c r="E13" i="9"/>
  <c r="E15" i="9" s="1"/>
  <c r="K49" i="6" l="1"/>
  <c r="AX45" i="13"/>
  <c r="AX47" i="13"/>
  <c r="AZ37" i="13"/>
  <c r="AZ38" i="13"/>
  <c r="AY43" i="13"/>
  <c r="AY44" i="13"/>
  <c r="K51" i="6" l="1"/>
  <c r="K52" i="6" s="1"/>
  <c r="L49" i="6" s="1"/>
  <c r="AY46" i="13"/>
  <c r="AY45" i="13"/>
  <c r="AZ40" i="13"/>
  <c r="AZ39" i="13"/>
  <c r="L51" i="6" l="1"/>
  <c r="L52" i="6" s="1"/>
  <c r="M49" i="6" s="1"/>
  <c r="K53" i="6"/>
  <c r="AZ42" i="13"/>
  <c r="AZ41" i="13"/>
  <c r="O57" i="13"/>
  <c r="AY49" i="13"/>
  <c r="AY47" i="13"/>
  <c r="M51" i="6" l="1"/>
  <c r="M52" i="6" s="1"/>
  <c r="L53" i="6"/>
  <c r="P56" i="13"/>
  <c r="AZ43" i="13"/>
  <c r="AZ44" i="13"/>
  <c r="AZ45" i="13" s="1"/>
  <c r="P57" i="13"/>
  <c r="E8" i="3"/>
  <c r="N49" i="6" l="1"/>
  <c r="M53" i="6"/>
  <c r="Q56" i="13"/>
  <c r="P58" i="13"/>
  <c r="AZ46" i="13"/>
  <c r="Q57" i="13"/>
  <c r="N51" i="6" l="1"/>
  <c r="N52" i="6" s="1"/>
  <c r="O49" i="6" s="1"/>
  <c r="Q58" i="13"/>
  <c r="R56" i="13"/>
  <c r="AZ47" i="13"/>
  <c r="AZ49" i="13"/>
  <c r="R57" i="13"/>
  <c r="N53" i="6" l="1"/>
  <c r="O51" i="6"/>
  <c r="O52" i="6" s="1"/>
  <c r="R58" i="13"/>
  <c r="S56" i="13"/>
  <c r="S58" i="13" s="1"/>
  <c r="P49" i="6" l="1"/>
  <c r="O53" i="6"/>
  <c r="P51" i="6" l="1"/>
  <c r="P52" i="6" s="1"/>
  <c r="Q49" i="6" l="1"/>
  <c r="Q51" i="6" s="1"/>
  <c r="Q52" i="6" s="1"/>
  <c r="P53" i="6"/>
  <c r="R49" i="6" l="1"/>
  <c r="Q53" i="6"/>
  <c r="R51" i="6" l="1"/>
  <c r="R52" i="6" s="1"/>
  <c r="S49" i="6" s="1"/>
  <c r="R53" i="6" l="1"/>
  <c r="S51" i="6"/>
  <c r="S52" i="6" s="1"/>
  <c r="T49" i="6" s="1"/>
  <c r="S53" i="6" l="1"/>
  <c r="T51" i="6"/>
  <c r="T52" i="6" s="1"/>
  <c r="U49" i="6" l="1"/>
  <c r="U51" i="6" s="1"/>
  <c r="U52" i="6" s="1"/>
  <c r="V49" i="6" s="1"/>
  <c r="V51" i="6" s="1"/>
  <c r="T53" i="6"/>
  <c r="U53" i="6" l="1"/>
  <c r="V52" i="6"/>
  <c r="W49" i="6" l="1"/>
  <c r="W51" i="6" s="1"/>
  <c r="W52" i="6" s="1"/>
  <c r="V53" i="6"/>
  <c r="X49" i="6" l="1"/>
  <c r="X51" i="6" s="1"/>
  <c r="X52" i="6" s="1"/>
  <c r="W53" i="6"/>
  <c r="Y49" i="6" l="1"/>
  <c r="Y51" i="6" s="1"/>
  <c r="Y52" i="6" s="1"/>
  <c r="X53" i="6"/>
  <c r="Z49" i="6" l="1"/>
  <c r="Y53" i="6"/>
  <c r="I23" i="13"/>
  <c r="Z51" i="6" l="1"/>
  <c r="Z52" i="6" s="1"/>
  <c r="AA49" i="6" l="1"/>
  <c r="Z53" i="6"/>
  <c r="AA51" i="6"/>
  <c r="AA52" i="6" s="1"/>
  <c r="J23" i="13"/>
  <c r="AB49" i="6" l="1"/>
  <c r="AA53" i="6"/>
  <c r="AB51" i="6" l="1"/>
  <c r="AB52" i="6" s="1"/>
  <c r="K23" i="13"/>
  <c r="AC49" i="6" l="1"/>
  <c r="AB53" i="6"/>
  <c r="AC51" i="6" l="1"/>
  <c r="AC52" i="6" s="1"/>
  <c r="AD49" i="6" s="1"/>
  <c r="AD51" i="6" l="1"/>
  <c r="AD52" i="6" s="1"/>
  <c r="AE49" i="6" s="1"/>
  <c r="AC53" i="6"/>
  <c r="AD53" i="6" l="1"/>
  <c r="AE51" i="6"/>
  <c r="AE52" i="6" s="1"/>
  <c r="AF49" i="6" l="1"/>
  <c r="AE53" i="6"/>
  <c r="AF51" i="6"/>
  <c r="AF52" i="6" l="1"/>
  <c r="AG49" i="6" s="1"/>
  <c r="AG51" i="6"/>
  <c r="AF53" i="6" l="1"/>
  <c r="AG52" i="6"/>
  <c r="AH49" i="6" s="1"/>
  <c r="AH51" i="6"/>
  <c r="AG53" i="6" l="1"/>
  <c r="AH52" i="6"/>
  <c r="AI49" i="6" s="1"/>
  <c r="AI51" i="6"/>
  <c r="AH53" i="6" l="1"/>
  <c r="AI52" i="6"/>
  <c r="AJ49" i="6" s="1"/>
  <c r="AJ51" i="6"/>
  <c r="AJ52" i="6" l="1"/>
  <c r="AK49" i="6" s="1"/>
  <c r="AI53" i="6"/>
  <c r="AK51" i="6"/>
  <c r="AK52" i="6" l="1"/>
  <c r="AL49" i="6" s="1"/>
  <c r="AJ53" i="6"/>
  <c r="AL51" i="6"/>
  <c r="AK53" i="6"/>
  <c r="AL52" i="6" l="1"/>
  <c r="AM49" i="6" s="1"/>
  <c r="AM51" i="6"/>
  <c r="AM52" i="6" s="1"/>
  <c r="AN49" i="6" s="1"/>
  <c r="AL53" i="6" l="1"/>
  <c r="AN51" i="6"/>
  <c r="AN52" i="6" s="1"/>
  <c r="AM53" i="6"/>
  <c r="AO49" i="6" l="1"/>
  <c r="AN53" i="6"/>
  <c r="AO51" i="6"/>
  <c r="AO52" i="6" l="1"/>
  <c r="AP49" i="6" s="1"/>
  <c r="AP52" i="6" s="1"/>
  <c r="AQ49" i="6" s="1"/>
  <c r="AO53" i="6" l="1"/>
  <c r="AP53" i="6"/>
  <c r="AQ52" i="6"/>
  <c r="AR49" i="6" s="1"/>
  <c r="AD64" i="6"/>
  <c r="AQ53" i="6" l="1"/>
  <c r="AR52" i="6"/>
  <c r="AS49" i="6" s="1"/>
  <c r="W22" i="5"/>
  <c r="AR53" i="6" l="1"/>
  <c r="AS52" i="6"/>
  <c r="AT49" i="6" s="1"/>
  <c r="AS53" i="6" l="1"/>
  <c r="AT52" i="6"/>
  <c r="AU49" i="6" s="1"/>
  <c r="AU52" i="6" s="1"/>
  <c r="AU53" i="6" s="1"/>
  <c r="AT53" i="6" l="1"/>
  <c r="AS37" i="6" l="1"/>
  <c r="AL21" i="5" s="1"/>
  <c r="AP64" i="6" l="1"/>
  <c r="AI22" i="5" l="1"/>
  <c r="AQ64" i="6" l="1"/>
  <c r="AU37" i="6"/>
  <c r="AN21" i="5" s="1"/>
  <c r="AJ22" i="5" l="1"/>
  <c r="AR64" i="6"/>
  <c r="AK22" i="5" l="1"/>
  <c r="AS64" i="6" l="1"/>
  <c r="AS24" i="6" l="1"/>
  <c r="AL22" i="5"/>
  <c r="AL23" i="5" s="1"/>
  <c r="AU64" i="6" l="1"/>
  <c r="AU24" i="6" s="1"/>
  <c r="AN22" i="5" l="1"/>
  <c r="AN23" i="5" s="1"/>
  <c r="AT37" i="6"/>
  <c r="AM21" i="5" s="1"/>
  <c r="AT64" i="6"/>
  <c r="AO64" i="6"/>
  <c r="AH22" i="5" s="1"/>
  <c r="AN64" i="6"/>
  <c r="AG22" i="5" s="1"/>
  <c r="AM64" i="6"/>
  <c r="AF22" i="5" s="1"/>
  <c r="AL64" i="6"/>
  <c r="AE22" i="5" s="1"/>
  <c r="AK64" i="6"/>
  <c r="AD22" i="5" s="1"/>
  <c r="AJ64" i="6"/>
  <c r="AC22" i="5" s="1"/>
  <c r="AI64" i="6"/>
  <c r="AB22" i="5" s="1"/>
  <c r="AH64" i="6"/>
  <c r="AA22" i="5" s="1"/>
  <c r="AG64" i="6"/>
  <c r="Z22" i="5" s="1"/>
  <c r="AF64" i="6"/>
  <c r="Y22" i="5" s="1"/>
  <c r="AE64" i="6"/>
  <c r="X22" i="5" s="1"/>
  <c r="K64" i="6"/>
  <c r="D22" i="5" s="1"/>
  <c r="K37" i="6"/>
  <c r="D21" i="5" s="1"/>
  <c r="AT24" i="6" l="1"/>
  <c r="AM22" i="5"/>
  <c r="AM23" i="5" s="1"/>
  <c r="K24" i="6"/>
  <c r="F36" i="8"/>
  <c r="G15" i="5" l="1"/>
  <c r="G16" i="5" s="1"/>
  <c r="D15" i="5"/>
  <c r="D16" i="5" s="1"/>
  <c r="J15" i="5"/>
  <c r="J16" i="5" s="1"/>
  <c r="E38" i="8"/>
  <c r="N38" i="6" s="1"/>
  <c r="H15" i="5"/>
  <c r="H16" i="5" s="1"/>
  <c r="I15" i="5"/>
  <c r="I16" i="5" s="1"/>
  <c r="F15" i="5"/>
  <c r="F16" i="5" s="1"/>
  <c r="F37" i="8"/>
  <c r="C15" i="5"/>
  <c r="E36" i="8"/>
  <c r="E15" i="5"/>
  <c r="E16" i="5" s="1"/>
  <c r="L38" i="6" l="1"/>
  <c r="E37" i="8"/>
  <c r="A10" i="9"/>
  <c r="E12" i="9"/>
  <c r="E14" i="9" s="1"/>
  <c r="E10" i="6"/>
  <c r="E14" i="6"/>
  <c r="G20" i="6" s="1"/>
  <c r="E12" i="6"/>
  <c r="G18" i="6" s="1"/>
  <c r="D10" i="9"/>
  <c r="D9" i="12"/>
  <c r="H8" i="12" s="1"/>
  <c r="C16" i="5"/>
  <c r="E7" i="6"/>
  <c r="AV9" i="12" l="1"/>
  <c r="AT21" i="11" s="1"/>
  <c r="AT19" i="11" s="1"/>
  <c r="AT32" i="11" s="1"/>
  <c r="BC9" i="12"/>
  <c r="BA21" i="11" s="1"/>
  <c r="BA19" i="11" s="1"/>
  <c r="BA32" i="11" s="1"/>
  <c r="BA9" i="12"/>
  <c r="AY21" i="11" s="1"/>
  <c r="AY19" i="11" s="1"/>
  <c r="AY32" i="11" s="1"/>
  <c r="AX9" i="12"/>
  <c r="AV21" i="11" s="1"/>
  <c r="AV19" i="11" s="1"/>
  <c r="AV32" i="11" s="1"/>
  <c r="BD9" i="12"/>
  <c r="AU9" i="12"/>
  <c r="AS21" i="11" s="1"/>
  <c r="AS19" i="11" s="1"/>
  <c r="AS32" i="11" s="1"/>
  <c r="H9" i="12"/>
  <c r="F21" i="11" s="1"/>
  <c r="F19" i="11" s="1"/>
  <c r="I9" i="12"/>
  <c r="G21" i="11" s="1"/>
  <c r="G19" i="11" s="1"/>
  <c r="AT9" i="12"/>
  <c r="AR21" i="11" s="1"/>
  <c r="AR19" i="11" s="1"/>
  <c r="AR32" i="11" s="1"/>
  <c r="AS9" i="12"/>
  <c r="AQ21" i="11" s="1"/>
  <c r="AQ19" i="11" s="1"/>
  <c r="AQ32" i="11" s="1"/>
  <c r="J9" i="12"/>
  <c r="H21" i="11" s="1"/>
  <c r="H19" i="11" s="1"/>
  <c r="L9" i="12"/>
  <c r="J21" i="11" s="1"/>
  <c r="J19" i="11" s="1"/>
  <c r="AY9" i="12"/>
  <c r="AW21" i="11" s="1"/>
  <c r="AW19" i="11" s="1"/>
  <c r="AW32" i="11" s="1"/>
  <c r="AZ9" i="12"/>
  <c r="AX21" i="11" s="1"/>
  <c r="AX19" i="11" s="1"/>
  <c r="AX32" i="11" s="1"/>
  <c r="BE9" i="12"/>
  <c r="AW9" i="12"/>
  <c r="AU21" i="11" s="1"/>
  <c r="AU19" i="11" s="1"/>
  <c r="AU32" i="11" s="1"/>
  <c r="BB9" i="12"/>
  <c r="AZ21" i="11" s="1"/>
  <c r="AZ19" i="11" s="1"/>
  <c r="AZ32" i="11" s="1"/>
  <c r="AR9" i="12"/>
  <c r="AP21" i="11" s="1"/>
  <c r="AP19" i="11" s="1"/>
  <c r="AP32" i="11" s="1"/>
  <c r="K9" i="12"/>
  <c r="I21" i="11" s="1"/>
  <c r="I19" i="11" s="1"/>
  <c r="O9" i="12"/>
  <c r="M21" i="11" s="1"/>
  <c r="M19" i="11" s="1"/>
  <c r="U9" i="12"/>
  <c r="S21" i="11" s="1"/>
  <c r="S19" i="11" s="1"/>
  <c r="W9" i="12"/>
  <c r="U21" i="11" s="1"/>
  <c r="U19" i="11" s="1"/>
  <c r="X9" i="12"/>
  <c r="V21" i="11" s="1"/>
  <c r="V19" i="11" s="1"/>
  <c r="Z9" i="12"/>
  <c r="X21" i="11" s="1"/>
  <c r="X19" i="11" s="1"/>
  <c r="Y9" i="12"/>
  <c r="W21" i="11" s="1"/>
  <c r="W19" i="11" s="1"/>
  <c r="AA9" i="12"/>
  <c r="Y21" i="11" s="1"/>
  <c r="Y19" i="11" s="1"/>
  <c r="S9" i="12"/>
  <c r="Q21" i="11" s="1"/>
  <c r="Q19" i="11" s="1"/>
  <c r="AB9" i="12"/>
  <c r="Z21" i="11" s="1"/>
  <c r="Z19" i="11" s="1"/>
  <c r="T9" i="12"/>
  <c r="R21" i="11" s="1"/>
  <c r="R19" i="11" s="1"/>
  <c r="V9" i="12"/>
  <c r="T21" i="11" s="1"/>
  <c r="T19" i="11" s="1"/>
  <c r="AC9" i="12"/>
  <c r="AA21" i="11" s="1"/>
  <c r="AA19" i="11" s="1"/>
  <c r="M9" i="12"/>
  <c r="K21" i="11" s="1"/>
  <c r="K19" i="11" s="1"/>
  <c r="P9" i="12"/>
  <c r="N21" i="11" s="1"/>
  <c r="N19" i="11" s="1"/>
  <c r="R9" i="12"/>
  <c r="P21" i="11" s="1"/>
  <c r="P19" i="11" s="1"/>
  <c r="AD9" i="12"/>
  <c r="AB21" i="11" s="1"/>
  <c r="AB19" i="11" s="1"/>
  <c r="AE9" i="12"/>
  <c r="AC21" i="11" s="1"/>
  <c r="AC19" i="11" s="1"/>
  <c r="N9" i="12"/>
  <c r="L21" i="11" s="1"/>
  <c r="L19" i="11" s="1"/>
  <c r="Q9" i="12"/>
  <c r="O21" i="11" s="1"/>
  <c r="O19" i="11" s="1"/>
  <c r="AF9" i="12"/>
  <c r="AD21" i="11" s="1"/>
  <c r="AD19" i="11" s="1"/>
  <c r="AL9" i="12"/>
  <c r="AJ21" i="11" s="1"/>
  <c r="AJ19" i="11" s="1"/>
  <c r="AM9" i="12"/>
  <c r="AK21" i="11" s="1"/>
  <c r="AK19" i="11" s="1"/>
  <c r="AN9" i="12"/>
  <c r="AL21" i="11" s="1"/>
  <c r="AL19" i="11" s="1"/>
  <c r="AP9" i="12"/>
  <c r="AN21" i="11" s="1"/>
  <c r="AN19" i="11" s="1"/>
  <c r="AH9" i="12"/>
  <c r="AF21" i="11" s="1"/>
  <c r="AF19" i="11" s="1"/>
  <c r="AI9" i="12"/>
  <c r="AG21" i="11" s="1"/>
  <c r="AG19" i="11" s="1"/>
  <c r="AO9" i="12"/>
  <c r="AM21" i="11" s="1"/>
  <c r="AM19" i="11" s="1"/>
  <c r="AQ9" i="12"/>
  <c r="AO21" i="11" s="1"/>
  <c r="AO19" i="11" s="1"/>
  <c r="AK9" i="12"/>
  <c r="AI21" i="11" s="1"/>
  <c r="AI19" i="11" s="1"/>
  <c r="AG9" i="12"/>
  <c r="AE21" i="11" s="1"/>
  <c r="AE19" i="11" s="1"/>
  <c r="AJ9" i="12"/>
  <c r="AH21" i="11" s="1"/>
  <c r="AH19" i="11" s="1"/>
  <c r="E16" i="6"/>
  <c r="E19" i="6" s="1"/>
  <c r="E43" i="6" s="1"/>
  <c r="G17" i="6"/>
  <c r="K18" i="6"/>
  <c r="D19" i="5" s="1"/>
  <c r="E37" i="9"/>
  <c r="P18" i="6"/>
  <c r="I19" i="5" s="1"/>
  <c r="L18" i="6"/>
  <c r="E19" i="5" s="1"/>
  <c r="H18" i="3"/>
  <c r="H19" i="3" s="1"/>
  <c r="F54" i="13" s="1"/>
  <c r="U18" i="3"/>
  <c r="U19" i="3" s="1"/>
  <c r="S54" i="13" s="1"/>
  <c r="K18" i="3"/>
  <c r="K19" i="3" s="1"/>
  <c r="I54" i="13" s="1"/>
  <c r="E18" i="3"/>
  <c r="O18" i="3"/>
  <c r="O19" i="3" s="1"/>
  <c r="M54" i="13" s="1"/>
  <c r="Q18" i="3"/>
  <c r="Q19" i="3" s="1"/>
  <c r="O54" i="13" s="1"/>
  <c r="J18" i="3"/>
  <c r="J19" i="3" s="1"/>
  <c r="H54" i="13" s="1"/>
  <c r="I18" i="3"/>
  <c r="I19" i="3" s="1"/>
  <c r="G54" i="13" s="1"/>
  <c r="N18" i="3"/>
  <c r="N19" i="3" s="1"/>
  <c r="L54" i="13" s="1"/>
  <c r="G18" i="3"/>
  <c r="G19" i="3" s="1"/>
  <c r="E54" i="13" s="1"/>
  <c r="P18" i="3"/>
  <c r="P19" i="3" s="1"/>
  <c r="N54" i="13" s="1"/>
  <c r="T18" i="3"/>
  <c r="T19" i="3" s="1"/>
  <c r="R54" i="13" s="1"/>
  <c r="M18" i="6"/>
  <c r="F19" i="5" s="1"/>
  <c r="N18" i="6"/>
  <c r="G19" i="5" s="1"/>
  <c r="M18" i="3"/>
  <c r="M19" i="3" s="1"/>
  <c r="K54" i="13" s="1"/>
  <c r="R18" i="3"/>
  <c r="R19" i="3" s="1"/>
  <c r="P54" i="13" s="1"/>
  <c r="O18" i="6"/>
  <c r="H19" i="5" s="1"/>
  <c r="Q18" i="6"/>
  <c r="J19" i="5" s="1"/>
  <c r="L18" i="3"/>
  <c r="L19" i="3" s="1"/>
  <c r="J54" i="13" s="1"/>
  <c r="S18" i="3"/>
  <c r="S19" i="3" s="1"/>
  <c r="Q54" i="13" s="1"/>
  <c r="E6" i="3"/>
  <c r="E9" i="3" s="1"/>
  <c r="E10" i="3" s="1"/>
  <c r="F18" i="3"/>
  <c r="F19" i="3" s="1"/>
  <c r="D54" i="13" s="1"/>
  <c r="J18" i="6"/>
  <c r="C10" i="13"/>
  <c r="D80" i="1"/>
  <c r="F25" i="11"/>
  <c r="F23" i="11" s="1"/>
  <c r="G56" i="9"/>
  <c r="K20" i="6"/>
  <c r="O20" i="6"/>
  <c r="E38" i="9"/>
  <c r="M20" i="6"/>
  <c r="Q20" i="6"/>
  <c r="L20" i="6"/>
  <c r="P20" i="6"/>
  <c r="N20" i="6"/>
  <c r="J20" i="6"/>
  <c r="C19" i="5" l="1"/>
  <c r="J36" i="6"/>
  <c r="E8" i="6"/>
  <c r="E20" i="6"/>
  <c r="E56" i="6" s="1"/>
  <c r="E19" i="3"/>
  <c r="C54" i="13" s="1"/>
  <c r="D53" i="13" s="1"/>
  <c r="D55" i="13" s="1"/>
  <c r="H10" i="12"/>
  <c r="I8" i="12" s="1"/>
  <c r="I10" i="12" s="1"/>
  <c r="J8" i="12" s="1"/>
  <c r="J10" i="12" s="1"/>
  <c r="K8" i="12" s="1"/>
  <c r="K10" i="12" s="1"/>
  <c r="L8" i="12" s="1"/>
  <c r="L10" i="12" s="1"/>
  <c r="M8" i="12" s="1"/>
  <c r="M10" i="12" s="1"/>
  <c r="N8" i="12" s="1"/>
  <c r="N10" i="12" s="1"/>
  <c r="O8" i="12" s="1"/>
  <c r="O10" i="12" s="1"/>
  <c r="P8" i="12" s="1"/>
  <c r="P10" i="12" s="1"/>
  <c r="Q8" i="12" s="1"/>
  <c r="Q10" i="12" s="1"/>
  <c r="R8" i="12" s="1"/>
  <c r="R10" i="12" s="1"/>
  <c r="S8" i="12" s="1"/>
  <c r="S10" i="12" s="1"/>
  <c r="T8" i="12" s="1"/>
  <c r="T10" i="12" s="1"/>
  <c r="U8" i="12" s="1"/>
  <c r="U10" i="12" s="1"/>
  <c r="V8" i="12" s="1"/>
  <c r="V10" i="12" s="1"/>
  <c r="W8" i="12" s="1"/>
  <c r="W10" i="12" s="1"/>
  <c r="X8" i="12" s="1"/>
  <c r="X10" i="12" s="1"/>
  <c r="Y8" i="12" s="1"/>
  <c r="Y10" i="12" s="1"/>
  <c r="Z8" i="12" s="1"/>
  <c r="Z10" i="12" s="1"/>
  <c r="AA8" i="12" s="1"/>
  <c r="AA10" i="12" s="1"/>
  <c r="AB8" i="12" s="1"/>
  <c r="AB10" i="12" s="1"/>
  <c r="AC8" i="12" s="1"/>
  <c r="AC10" i="12" s="1"/>
  <c r="AD8" i="12" s="1"/>
  <c r="AD10" i="12" s="1"/>
  <c r="AE8" i="12" s="1"/>
  <c r="AE10" i="12" s="1"/>
  <c r="AF8" i="12" s="1"/>
  <c r="AF10" i="12" s="1"/>
  <c r="AG8" i="12" s="1"/>
  <c r="AG10" i="12" s="1"/>
  <c r="AH8" i="12" s="1"/>
  <c r="AH10" i="12" s="1"/>
  <c r="AI8" i="12" s="1"/>
  <c r="AI10" i="12" s="1"/>
  <c r="AJ8" i="12" s="1"/>
  <c r="AJ10" i="12" s="1"/>
  <c r="AK8" i="12" s="1"/>
  <c r="AK10" i="12" s="1"/>
  <c r="AL8" i="12" s="1"/>
  <c r="AL10" i="12" s="1"/>
  <c r="AM8" i="12" s="1"/>
  <c r="AM10" i="12" s="1"/>
  <c r="AN8" i="12" s="1"/>
  <c r="AN10" i="12" s="1"/>
  <c r="AO8" i="12" s="1"/>
  <c r="AO10" i="12" s="1"/>
  <c r="AP8" i="12" s="1"/>
  <c r="AP10" i="12" s="1"/>
  <c r="AQ8" i="12" s="1"/>
  <c r="AQ10" i="12" s="1"/>
  <c r="AR8" i="12" s="1"/>
  <c r="AR10" i="12" s="1"/>
  <c r="AS8" i="12" s="1"/>
  <c r="AS10" i="12" s="1"/>
  <c r="AT8" i="12" s="1"/>
  <c r="AT10" i="12" s="1"/>
  <c r="AU8" i="12" s="1"/>
  <c r="AU10" i="12" s="1"/>
  <c r="AV8" i="12" s="1"/>
  <c r="AV10" i="12" s="1"/>
  <c r="AW8" i="12" s="1"/>
  <c r="AW10" i="12" s="1"/>
  <c r="AX8" i="12" s="1"/>
  <c r="AX10" i="12" s="1"/>
  <c r="AY8" i="12" s="1"/>
  <c r="AY10" i="12" s="1"/>
  <c r="AZ8" i="12" s="1"/>
  <c r="AZ10" i="12" s="1"/>
  <c r="BA8" i="12" s="1"/>
  <c r="BA10" i="12" s="1"/>
  <c r="BB8" i="12" s="1"/>
  <c r="BB10" i="12" s="1"/>
  <c r="BC8" i="12" s="1"/>
  <c r="BC10" i="12" s="1"/>
  <c r="BD8" i="12" s="1"/>
  <c r="BD10" i="12" s="1"/>
  <c r="BE8" i="12" s="1"/>
  <c r="BE10" i="12" s="1"/>
  <c r="E18" i="6"/>
  <c r="E29" i="6" s="1"/>
  <c r="D20" i="5"/>
  <c r="K63" i="6"/>
  <c r="Q63" i="6"/>
  <c r="J20" i="5"/>
  <c r="H20" i="5"/>
  <c r="O63" i="6"/>
  <c r="E53" i="13"/>
  <c r="E55" i="13" s="1"/>
  <c r="N36" i="6"/>
  <c r="P53" i="13"/>
  <c r="P59" i="13" s="1"/>
  <c r="Z40" i="11"/>
  <c r="AL40" i="11"/>
  <c r="AG40" i="11"/>
  <c r="J40" i="11"/>
  <c r="G40" i="11"/>
  <c r="AE40" i="11"/>
  <c r="AZ40" i="11"/>
  <c r="AT40" i="11"/>
  <c r="O40" i="11"/>
  <c r="AQ40" i="11"/>
  <c r="AI40" i="11"/>
  <c r="M40" i="11"/>
  <c r="R40" i="11"/>
  <c r="V40" i="11"/>
  <c r="L40" i="11"/>
  <c r="AC40" i="11"/>
  <c r="U40" i="11"/>
  <c r="AM40" i="11"/>
  <c r="AY40" i="11"/>
  <c r="AU40" i="11"/>
  <c r="H40" i="11"/>
  <c r="AK40" i="11"/>
  <c r="I40" i="11"/>
  <c r="W40" i="11"/>
  <c r="AN40" i="11"/>
  <c r="T40" i="11"/>
  <c r="AB40" i="11"/>
  <c r="F40" i="11"/>
  <c r="AR40" i="11"/>
  <c r="AJ40" i="11"/>
  <c r="C32" i="5"/>
  <c r="Q40" i="11"/>
  <c r="AD40" i="11"/>
  <c r="X40" i="11"/>
  <c r="BA40" i="11"/>
  <c r="AA40" i="11"/>
  <c r="AV40" i="11"/>
  <c r="K40" i="11"/>
  <c r="N40" i="11"/>
  <c r="P40" i="11"/>
  <c r="AX40" i="11"/>
  <c r="AW40" i="11"/>
  <c r="S40" i="11"/>
  <c r="D45" i="1"/>
  <c r="B60" i="9" s="1"/>
  <c r="AF40" i="11"/>
  <c r="AO40" i="11"/>
  <c r="AS40" i="11"/>
  <c r="Y40" i="11"/>
  <c r="AH40" i="11"/>
  <c r="AP40" i="11"/>
  <c r="M36" i="6"/>
  <c r="N53" i="13"/>
  <c r="N55" i="13" s="1"/>
  <c r="R53" i="13"/>
  <c r="R55" i="13" s="1"/>
  <c r="R59" i="13"/>
  <c r="S53" i="13"/>
  <c r="S55" i="13" s="1"/>
  <c r="K36" i="6"/>
  <c r="AX34" i="11"/>
  <c r="AX36" i="11" s="1"/>
  <c r="AX37" i="11" s="1"/>
  <c r="AS34" i="11"/>
  <c r="AS36" i="11" s="1"/>
  <c r="AS37" i="11" s="1"/>
  <c r="G68" i="9"/>
  <c r="G74" i="9"/>
  <c r="K53" i="13"/>
  <c r="K55" i="13" s="1"/>
  <c r="O53" i="13"/>
  <c r="O55" i="13" s="1"/>
  <c r="J53" i="13"/>
  <c r="J55" i="13" s="1"/>
  <c r="N17" i="6"/>
  <c r="E17" i="6"/>
  <c r="J17" i="6"/>
  <c r="M17" i="6"/>
  <c r="O17" i="6"/>
  <c r="L17" i="6"/>
  <c r="K17" i="6"/>
  <c r="Q17" i="6"/>
  <c r="P17" i="6"/>
  <c r="AW34" i="11"/>
  <c r="AW36" i="11" s="1"/>
  <c r="AW37" i="11" s="1"/>
  <c r="G20" i="5"/>
  <c r="N63" i="6"/>
  <c r="L63" i="6"/>
  <c r="E20" i="5"/>
  <c r="Q36" i="6"/>
  <c r="F53" i="13"/>
  <c r="F55" i="13" s="1"/>
  <c r="AV34" i="11"/>
  <c r="AV36" i="11" s="1"/>
  <c r="AV37" i="11" s="1"/>
  <c r="O36" i="6"/>
  <c r="M53" i="13"/>
  <c r="M55" i="13" s="1"/>
  <c r="G53" i="13"/>
  <c r="G55" i="13" s="1"/>
  <c r="AP34" i="11"/>
  <c r="AP36" i="11" s="1"/>
  <c r="AP37" i="11" s="1"/>
  <c r="AY34" i="11"/>
  <c r="AY36" i="11" s="1"/>
  <c r="AY37" i="11" s="1"/>
  <c r="C60" i="13"/>
  <c r="F60" i="13"/>
  <c r="S60" i="13"/>
  <c r="N60" i="13"/>
  <c r="O60" i="13"/>
  <c r="R60" i="13"/>
  <c r="M60" i="13"/>
  <c r="E60" i="13"/>
  <c r="P60" i="13"/>
  <c r="H60" i="13"/>
  <c r="Q60" i="13"/>
  <c r="J60" i="13"/>
  <c r="D60" i="13"/>
  <c r="I60" i="13"/>
  <c r="G60" i="13"/>
  <c r="L60" i="13"/>
  <c r="K60" i="13"/>
  <c r="Q53" i="13"/>
  <c r="Q59" i="13" s="1"/>
  <c r="H53" i="13"/>
  <c r="H55" i="13" s="1"/>
  <c r="L36" i="6"/>
  <c r="AZ34" i="11"/>
  <c r="AZ36" i="11" s="1"/>
  <c r="AZ37" i="11" s="1"/>
  <c r="AQ34" i="11"/>
  <c r="AQ36" i="11" s="1"/>
  <c r="AQ37" i="11" s="1"/>
  <c r="BA34" i="11"/>
  <c r="BA36" i="11" s="1"/>
  <c r="BA37" i="11" s="1"/>
  <c r="C20" i="5"/>
  <c r="J63" i="6"/>
  <c r="P63" i="6"/>
  <c r="I20" i="5"/>
  <c r="F20" i="5"/>
  <c r="M63" i="6"/>
  <c r="L53" i="13"/>
  <c r="L55" i="13" s="1"/>
  <c r="I53" i="13"/>
  <c r="I55" i="13" s="1"/>
  <c r="P36" i="6"/>
  <c r="AU34" i="11"/>
  <c r="AU36" i="11" s="1"/>
  <c r="AU37" i="11" s="1"/>
  <c r="AR34" i="11"/>
  <c r="AR36" i="11" s="1"/>
  <c r="AR37" i="11" s="1"/>
  <c r="AT34" i="11"/>
  <c r="AT36" i="11" s="1"/>
  <c r="AT37" i="11" s="1"/>
  <c r="P55" i="13" l="1"/>
  <c r="K22" i="6"/>
  <c r="B37" i="9"/>
  <c r="S59" i="13"/>
  <c r="S61" i="13" s="1"/>
  <c r="L22" i="6"/>
  <c r="Q61" i="13"/>
  <c r="Q22" i="6"/>
  <c r="R61" i="13"/>
  <c r="P22" i="6"/>
  <c r="O22" i="6"/>
  <c r="P61" i="13"/>
  <c r="O27" i="6"/>
  <c r="H18" i="5"/>
  <c r="Q55" i="13"/>
  <c r="J22" i="6"/>
  <c r="E30" i="6"/>
  <c r="J39" i="6"/>
  <c r="M27" i="6"/>
  <c r="F18" i="5"/>
  <c r="J27" i="6"/>
  <c r="C18" i="5"/>
  <c r="C23" i="5" s="1"/>
  <c r="M22" i="6"/>
  <c r="B38" i="9"/>
  <c r="E26" i="6"/>
  <c r="P27" i="6"/>
  <c r="I18" i="5"/>
  <c r="G18" i="5"/>
  <c r="N27" i="6"/>
  <c r="C7" i="13"/>
  <c r="C53" i="13" s="1"/>
  <c r="C55" i="13" s="1"/>
  <c r="E57" i="6"/>
  <c r="J65" i="6"/>
  <c r="Q27" i="6"/>
  <c r="J18" i="5"/>
  <c r="D18" i="5"/>
  <c r="D23" i="5" s="1"/>
  <c r="K27" i="6"/>
  <c r="N22" i="6"/>
  <c r="L27" i="6"/>
  <c r="E18" i="5"/>
  <c r="J66" i="6" l="1"/>
  <c r="K62" i="6"/>
  <c r="J40" i="6"/>
  <c r="C11" i="5" s="1"/>
  <c r="K35" i="6"/>
  <c r="E27" i="6"/>
  <c r="D29" i="11" l="1"/>
  <c r="J23" i="6"/>
  <c r="K65" i="6"/>
  <c r="L62" i="6" s="1"/>
  <c r="C12" i="5"/>
  <c r="D30" i="11"/>
  <c r="K39" i="6"/>
  <c r="L35" i="6" s="1"/>
  <c r="L37" i="6" s="1"/>
  <c r="E21" i="5" s="1"/>
  <c r="K40" i="6" l="1"/>
  <c r="C10" i="5"/>
  <c r="C13" i="5" s="1"/>
  <c r="C24" i="5" s="1"/>
  <c r="C25" i="5" s="1"/>
  <c r="C26" i="5" s="1"/>
  <c r="K66" i="6"/>
  <c r="D12" i="5" s="1"/>
  <c r="L64" i="6"/>
  <c r="L39" i="6"/>
  <c r="M35" i="6" s="1"/>
  <c r="M37" i="6" s="1"/>
  <c r="F21" i="5" s="1"/>
  <c r="D27" i="11"/>
  <c r="D32" i="11" s="1"/>
  <c r="D36" i="11" s="1"/>
  <c r="D40" i="11" s="1"/>
  <c r="E29" i="11" l="1"/>
  <c r="D11" i="5"/>
  <c r="K23" i="6"/>
  <c r="E30" i="11"/>
  <c r="C27" i="5"/>
  <c r="C5" i="13" s="1"/>
  <c r="L24" i="6"/>
  <c r="E22" i="5"/>
  <c r="E23" i="5" s="1"/>
  <c r="M39" i="6"/>
  <c r="N35" i="6" s="1"/>
  <c r="N37" i="6" s="1"/>
  <c r="G21" i="5" s="1"/>
  <c r="L65" i="6"/>
  <c r="L40" i="6"/>
  <c r="E11" i="5" s="1"/>
  <c r="E27" i="11" l="1"/>
  <c r="E32" i="11" s="1"/>
  <c r="E36" i="11" s="1"/>
  <c r="E40" i="11" s="1"/>
  <c r="D10" i="5"/>
  <c r="D13" i="5" s="1"/>
  <c r="D24" i="5" s="1"/>
  <c r="D25" i="5" s="1"/>
  <c r="D26" i="5" s="1"/>
  <c r="D27" i="5" s="1"/>
  <c r="C28" i="5"/>
  <c r="M40" i="6"/>
  <c r="M62" i="6"/>
  <c r="L66" i="6"/>
  <c r="L23" i="6" s="1"/>
  <c r="N39" i="6"/>
  <c r="O35" i="6" s="1"/>
  <c r="F29" i="11"/>
  <c r="C17" i="13"/>
  <c r="G29" i="11" l="1"/>
  <c r="F11" i="5"/>
  <c r="D28" i="5"/>
  <c r="D5" i="13"/>
  <c r="O37" i="6"/>
  <c r="E12" i="5"/>
  <c r="E10" i="5" s="1"/>
  <c r="E13" i="5" s="1"/>
  <c r="E24" i="5" s="1"/>
  <c r="E25" i="5" s="1"/>
  <c r="F30" i="11"/>
  <c r="F27" i="11" s="1"/>
  <c r="F32" i="11" s="1"/>
  <c r="N40" i="6"/>
  <c r="G11" i="5" s="1"/>
  <c r="M64" i="6"/>
  <c r="M65" i="6" s="1"/>
  <c r="O39" i="6" l="1"/>
  <c r="P35" i="6" s="1"/>
  <c r="H21" i="5"/>
  <c r="E26" i="5"/>
  <c r="E27" i="5" s="1"/>
  <c r="N62" i="6"/>
  <c r="M66" i="6"/>
  <c r="M23" i="6" s="1"/>
  <c r="F34" i="11"/>
  <c r="F36" i="11" s="1"/>
  <c r="F37" i="11" s="1"/>
  <c r="H29" i="11"/>
  <c r="D17" i="13"/>
  <c r="F22" i="5"/>
  <c r="F23" i="5" s="1"/>
  <c r="M24" i="6"/>
  <c r="O40" i="6" l="1"/>
  <c r="H11" i="5" s="1"/>
  <c r="E28" i="5"/>
  <c r="E5" i="13"/>
  <c r="N64" i="6"/>
  <c r="N65" i="6" s="1"/>
  <c r="G30" i="11"/>
  <c r="G27" i="11" s="1"/>
  <c r="G32" i="11" s="1"/>
  <c r="F12" i="5"/>
  <c r="F10" i="5" s="1"/>
  <c r="F13" i="5" s="1"/>
  <c r="F24" i="5" s="1"/>
  <c r="F25" i="5" s="1"/>
  <c r="P37" i="6"/>
  <c r="I29" i="11" l="1"/>
  <c r="P39" i="6"/>
  <c r="Q35" i="6" s="1"/>
  <c r="I21" i="5"/>
  <c r="O62" i="6"/>
  <c r="N66" i="6"/>
  <c r="N24" i="6"/>
  <c r="G22" i="5"/>
  <c r="G23" i="5" s="1"/>
  <c r="Q37" i="6"/>
  <c r="J21" i="5" s="1"/>
  <c r="F26" i="5"/>
  <c r="F27" i="5" s="1"/>
  <c r="E17" i="13"/>
  <c r="G34" i="11"/>
  <c r="G36" i="11" s="1"/>
  <c r="G37" i="11" s="1"/>
  <c r="P40" i="6" l="1"/>
  <c r="I11" i="5" s="1"/>
  <c r="F28" i="5"/>
  <c r="F5" i="13"/>
  <c r="H30" i="11"/>
  <c r="H27" i="11" s="1"/>
  <c r="H32" i="11" s="1"/>
  <c r="G12" i="5"/>
  <c r="G10" i="5" s="1"/>
  <c r="G13" i="5" s="1"/>
  <c r="G24" i="5" s="1"/>
  <c r="G25" i="5" s="1"/>
  <c r="N23" i="6"/>
  <c r="Q39" i="6"/>
  <c r="O64" i="6"/>
  <c r="J29" i="11" l="1"/>
  <c r="H22" i="5"/>
  <c r="H23" i="5" s="1"/>
  <c r="O24" i="6"/>
  <c r="R35" i="6"/>
  <c r="Q40" i="6"/>
  <c r="J11" i="5" s="1"/>
  <c r="H34" i="11"/>
  <c r="H36" i="11" s="1"/>
  <c r="H37" i="11" s="1"/>
  <c r="O65" i="6"/>
  <c r="F16" i="13"/>
  <c r="G26" i="5"/>
  <c r="G27" i="5" s="1"/>
  <c r="G28" i="5" l="1"/>
  <c r="G5" i="13"/>
  <c r="R37" i="6"/>
  <c r="K21" i="5" s="1"/>
  <c r="P62" i="6"/>
  <c r="O66" i="6"/>
  <c r="K29" i="11"/>
  <c r="F17" i="13"/>
  <c r="F19" i="13"/>
  <c r="P64" i="6" l="1"/>
  <c r="P65" i="6" s="1"/>
  <c r="Q62" i="6" s="1"/>
  <c r="R39" i="6"/>
  <c r="G16" i="13"/>
  <c r="I30" i="11"/>
  <c r="I27" i="11" s="1"/>
  <c r="I32" i="11" s="1"/>
  <c r="H12" i="5"/>
  <c r="O23" i="6"/>
  <c r="H10" i="5" l="1"/>
  <c r="H13" i="5" s="1"/>
  <c r="H24" i="5" s="1"/>
  <c r="H25" i="5" s="1"/>
  <c r="H26" i="5" s="1"/>
  <c r="H27" i="5" s="1"/>
  <c r="G34" i="9"/>
  <c r="Q64" i="6"/>
  <c r="Q65" i="6" s="1"/>
  <c r="R62" i="6" s="1"/>
  <c r="S35" i="6"/>
  <c r="R40" i="6"/>
  <c r="K11" i="5" s="1"/>
  <c r="I34" i="11"/>
  <c r="I36" i="11" s="1"/>
  <c r="I37" i="11" s="1"/>
  <c r="P66" i="6"/>
  <c r="G19" i="13"/>
  <c r="G17" i="13"/>
  <c r="I22" i="5"/>
  <c r="I23" i="5" s="1"/>
  <c r="P24" i="6"/>
  <c r="J22" i="5" l="1"/>
  <c r="J23" i="5" s="1"/>
  <c r="Q24" i="6"/>
  <c r="S37" i="6"/>
  <c r="J30" i="11"/>
  <c r="J27" i="11" s="1"/>
  <c r="J32" i="11" s="1"/>
  <c r="I12" i="5"/>
  <c r="I10" i="5" s="1"/>
  <c r="I13" i="5" s="1"/>
  <c r="I24" i="5" s="1"/>
  <c r="I25" i="5" s="1"/>
  <c r="P23" i="6"/>
  <c r="L29" i="11"/>
  <c r="Q66" i="6"/>
  <c r="H28" i="5"/>
  <c r="H5" i="13"/>
  <c r="H16" i="13" s="1"/>
  <c r="R64" i="6"/>
  <c r="S39" i="6" l="1"/>
  <c r="T35" i="6" s="1"/>
  <c r="T37" i="6" s="1"/>
  <c r="L21" i="5"/>
  <c r="H19" i="13"/>
  <c r="H17" i="13"/>
  <c r="K22" i="5"/>
  <c r="K23" i="5" s="1"/>
  <c r="R24" i="6"/>
  <c r="J34" i="11"/>
  <c r="J36" i="11" s="1"/>
  <c r="J37" i="11" s="1"/>
  <c r="J12" i="5"/>
  <c r="J10" i="5" s="1"/>
  <c r="J13" i="5" s="1"/>
  <c r="J24" i="5" s="1"/>
  <c r="J25" i="5" s="1"/>
  <c r="K30" i="11"/>
  <c r="K27" i="11" s="1"/>
  <c r="K32" i="11" s="1"/>
  <c r="Q23" i="6"/>
  <c r="I26" i="5"/>
  <c r="I27" i="5" s="1"/>
  <c r="R65" i="6"/>
  <c r="S40" i="6" l="1"/>
  <c r="L11" i="5" s="1"/>
  <c r="T39" i="6"/>
  <c r="U35" i="6" s="1"/>
  <c r="M21" i="5"/>
  <c r="S62" i="6"/>
  <c r="R66" i="6"/>
  <c r="K34" i="11"/>
  <c r="K36" i="11" s="1"/>
  <c r="K37" i="11" s="1"/>
  <c r="J26" i="5"/>
  <c r="J27" i="5" s="1"/>
  <c r="U37" i="6"/>
  <c r="I28" i="5"/>
  <c r="I5" i="13"/>
  <c r="I16" i="13" s="1"/>
  <c r="T40" i="6" l="1"/>
  <c r="M11" i="5" s="1"/>
  <c r="M29" i="11"/>
  <c r="U39" i="6"/>
  <c r="V35" i="6" s="1"/>
  <c r="N21" i="5"/>
  <c r="J5" i="13"/>
  <c r="J16" i="13" s="1"/>
  <c r="J28" i="5"/>
  <c r="K12" i="5"/>
  <c r="K10" i="5" s="1"/>
  <c r="K13" i="5" s="1"/>
  <c r="K24" i="5" s="1"/>
  <c r="K25" i="5" s="1"/>
  <c r="L30" i="11"/>
  <c r="L27" i="11" s="1"/>
  <c r="L32" i="11" s="1"/>
  <c r="R23" i="6"/>
  <c r="S64" i="6"/>
  <c r="S65" i="6" s="1"/>
  <c r="T62" i="6" s="1"/>
  <c r="I17" i="13"/>
  <c r="I18" i="13"/>
  <c r="V37" i="6" l="1"/>
  <c r="O21" i="5" s="1"/>
  <c r="U40" i="6"/>
  <c r="N11" i="5" s="1"/>
  <c r="N29" i="11"/>
  <c r="L34" i="11"/>
  <c r="L36" i="11" s="1"/>
  <c r="L37" i="11" s="1"/>
  <c r="S66" i="6"/>
  <c r="K26" i="5"/>
  <c r="K27" i="5" s="1"/>
  <c r="L22" i="5"/>
  <c r="L23" i="5" s="1"/>
  <c r="S24" i="6"/>
  <c r="I21" i="13"/>
  <c r="I19" i="13"/>
  <c r="T64" i="6"/>
  <c r="T65" i="6" s="1"/>
  <c r="U62" i="6" s="1"/>
  <c r="V39" i="6"/>
  <c r="J17" i="13"/>
  <c r="J18" i="13"/>
  <c r="O29" i="11" l="1"/>
  <c r="K5" i="13"/>
  <c r="K16" i="13" s="1"/>
  <c r="K28" i="5"/>
  <c r="L12" i="5"/>
  <c r="L10" i="5" s="1"/>
  <c r="L13" i="5" s="1"/>
  <c r="L24" i="5" s="1"/>
  <c r="L25" i="5" s="1"/>
  <c r="M30" i="11"/>
  <c r="M27" i="11" s="1"/>
  <c r="M32" i="11" s="1"/>
  <c r="S23" i="6"/>
  <c r="U64" i="6"/>
  <c r="W35" i="6"/>
  <c r="V40" i="6"/>
  <c r="O11" i="5" s="1"/>
  <c r="M22" i="5"/>
  <c r="M23" i="5" s="1"/>
  <c r="T24" i="6"/>
  <c r="T66" i="6"/>
  <c r="J19" i="13"/>
  <c r="J21" i="13"/>
  <c r="N22" i="5" l="1"/>
  <c r="N23" i="5" s="1"/>
  <c r="U24" i="6"/>
  <c r="M34" i="11"/>
  <c r="M36" i="11" s="1"/>
  <c r="M37" i="11" s="1"/>
  <c r="N30" i="11"/>
  <c r="N27" i="11" s="1"/>
  <c r="N32" i="11" s="1"/>
  <c r="M12" i="5"/>
  <c r="M10" i="5" s="1"/>
  <c r="M13" i="5" s="1"/>
  <c r="M24" i="5" s="1"/>
  <c r="M25" i="5" s="1"/>
  <c r="T23" i="6"/>
  <c r="L26" i="5"/>
  <c r="L27" i="5" s="1"/>
  <c r="P29" i="11"/>
  <c r="W37" i="6"/>
  <c r="U65" i="6"/>
  <c r="K17" i="13"/>
  <c r="K18" i="13"/>
  <c r="W39" i="6" l="1"/>
  <c r="X35" i="6" s="1"/>
  <c r="X37" i="6" s="1"/>
  <c r="P21" i="5"/>
  <c r="L28" i="5"/>
  <c r="L5" i="13"/>
  <c r="L16" i="13" s="1"/>
  <c r="V62" i="6"/>
  <c r="U66" i="6"/>
  <c r="M26" i="5"/>
  <c r="M27" i="5" s="1"/>
  <c r="N34" i="11"/>
  <c r="N36" i="11" s="1"/>
  <c r="N37" i="11" s="1"/>
  <c r="K21" i="13"/>
  <c r="K19" i="13"/>
  <c r="W40" i="6" l="1"/>
  <c r="P11" i="5" s="1"/>
  <c r="X39" i="6"/>
  <c r="Y35" i="6" s="1"/>
  <c r="Y37" i="6" s="1"/>
  <c r="Q21" i="5"/>
  <c r="O30" i="11"/>
  <c r="O27" i="11" s="1"/>
  <c r="O32" i="11" s="1"/>
  <c r="N12" i="5"/>
  <c r="N10" i="5" s="1"/>
  <c r="N13" i="5" s="1"/>
  <c r="N24" i="5" s="1"/>
  <c r="N25" i="5" s="1"/>
  <c r="U23" i="6"/>
  <c r="V64" i="6"/>
  <c r="V65" i="6" s="1"/>
  <c r="X40" i="6"/>
  <c r="Q11" i="5" s="1"/>
  <c r="M5" i="13"/>
  <c r="M16" i="13" s="1"/>
  <c r="M28" i="5"/>
  <c r="L17" i="13"/>
  <c r="L18" i="13"/>
  <c r="Q29" i="11" l="1"/>
  <c r="Y39" i="6"/>
  <c r="Z35" i="6" s="1"/>
  <c r="Z37" i="6" s="1"/>
  <c r="R21" i="5"/>
  <c r="W62" i="6"/>
  <c r="V66" i="6"/>
  <c r="N26" i="5"/>
  <c r="N27" i="5" s="1"/>
  <c r="O34" i="11"/>
  <c r="O36" i="11" s="1"/>
  <c r="O37" i="11" s="1"/>
  <c r="M18" i="13"/>
  <c r="M17" i="13"/>
  <c r="R29" i="11"/>
  <c r="L19" i="13"/>
  <c r="L20" i="13"/>
  <c r="O22" i="5"/>
  <c r="O23" i="5" s="1"/>
  <c r="V24" i="6"/>
  <c r="Y40" i="6" l="1"/>
  <c r="R11" i="5" s="1"/>
  <c r="Z39" i="6"/>
  <c r="AA35" i="6" s="1"/>
  <c r="AA37" i="6" s="1"/>
  <c r="T21" i="5" s="1"/>
  <c r="S21" i="5"/>
  <c r="N5" i="13"/>
  <c r="N16" i="13" s="1"/>
  <c r="N28" i="5"/>
  <c r="M20" i="13"/>
  <c r="M21" i="13" s="1"/>
  <c r="M19" i="13"/>
  <c r="L23" i="13"/>
  <c r="L21" i="13"/>
  <c r="O12" i="5"/>
  <c r="O10" i="5" s="1"/>
  <c r="O13" i="5" s="1"/>
  <c r="O24" i="5" s="1"/>
  <c r="O25" i="5" s="1"/>
  <c r="P30" i="11"/>
  <c r="P27" i="11" s="1"/>
  <c r="P32" i="11" s="1"/>
  <c r="V23" i="6"/>
  <c r="W64" i="6"/>
  <c r="W65" i="6" s="1"/>
  <c r="S29" i="11" l="1"/>
  <c r="Z40" i="6"/>
  <c r="S11" i="5" s="1"/>
  <c r="X62" i="6"/>
  <c r="X64" i="6" s="1"/>
  <c r="X65" i="6" s="1"/>
  <c r="Y62" i="6" s="1"/>
  <c r="W66" i="6"/>
  <c r="Q30" i="11" s="1"/>
  <c r="Q27" i="11" s="1"/>
  <c r="Q32" i="11" s="1"/>
  <c r="O26" i="5"/>
  <c r="O27" i="5" s="1"/>
  <c r="P34" i="11"/>
  <c r="P36" i="11" s="1"/>
  <c r="P37" i="11" s="1"/>
  <c r="AA39" i="6"/>
  <c r="M23" i="13"/>
  <c r="P22" i="5"/>
  <c r="P23" i="5" s="1"/>
  <c r="W24" i="6"/>
  <c r="N17" i="13"/>
  <c r="N18" i="13"/>
  <c r="T29" i="11" l="1"/>
  <c r="P12" i="5"/>
  <c r="P10" i="5" s="1"/>
  <c r="P13" i="5" s="1"/>
  <c r="P24" i="5" s="1"/>
  <c r="P25" i="5" s="1"/>
  <c r="W23" i="6"/>
  <c r="O28" i="5"/>
  <c r="O5" i="13"/>
  <c r="O16" i="13" s="1"/>
  <c r="Q34" i="11"/>
  <c r="Q36" i="11" s="1"/>
  <c r="Q37" i="11" s="1"/>
  <c r="Y64" i="6"/>
  <c r="N19" i="13"/>
  <c r="N20" i="13"/>
  <c r="X66" i="6"/>
  <c r="AB35" i="6"/>
  <c r="AA40" i="6"/>
  <c r="T11" i="5" s="1"/>
  <c r="Q22" i="5"/>
  <c r="Q23" i="5" s="1"/>
  <c r="X24" i="6"/>
  <c r="R22" i="5" l="1"/>
  <c r="R23" i="5" s="1"/>
  <c r="Y24" i="6"/>
  <c r="N21" i="13"/>
  <c r="N23" i="13"/>
  <c r="U29" i="11"/>
  <c r="R30" i="11"/>
  <c r="R27" i="11" s="1"/>
  <c r="R32" i="11" s="1"/>
  <c r="Q12" i="5"/>
  <c r="Q10" i="5" s="1"/>
  <c r="Q13" i="5" s="1"/>
  <c r="Q24" i="5" s="1"/>
  <c r="Q25" i="5" s="1"/>
  <c r="X23" i="6"/>
  <c r="P26" i="5"/>
  <c r="P27" i="5" s="1"/>
  <c r="O17" i="13"/>
  <c r="O18" i="13"/>
  <c r="AB37" i="6"/>
  <c r="Y65" i="6"/>
  <c r="AB39" i="6" l="1"/>
  <c r="AC35" i="6" s="1"/>
  <c r="AC37" i="6" s="1"/>
  <c r="V21" i="5" s="1"/>
  <c r="U21" i="5"/>
  <c r="Z62" i="6"/>
  <c r="Y66" i="6"/>
  <c r="Q26" i="5"/>
  <c r="Q27" i="5" s="1"/>
  <c r="O19" i="13"/>
  <c r="O20" i="13"/>
  <c r="P28" i="5"/>
  <c r="P5" i="13"/>
  <c r="P16" i="13" s="1"/>
  <c r="R34" i="11"/>
  <c r="R36" i="11" s="1"/>
  <c r="R37" i="11" s="1"/>
  <c r="AB40" i="6" l="1"/>
  <c r="U11" i="5" s="1"/>
  <c r="O21" i="13"/>
  <c r="O22" i="13"/>
  <c r="Q28" i="5"/>
  <c r="Q5" i="13"/>
  <c r="Q16" i="13" s="1"/>
  <c r="R12" i="5"/>
  <c r="R10" i="5" s="1"/>
  <c r="R13" i="5" s="1"/>
  <c r="R24" i="5" s="1"/>
  <c r="R25" i="5" s="1"/>
  <c r="S30" i="11"/>
  <c r="S27" i="11" s="1"/>
  <c r="S32" i="11" s="1"/>
  <c r="Y23" i="6"/>
  <c r="AC39" i="6"/>
  <c r="P18" i="13"/>
  <c r="P17" i="13"/>
  <c r="Z64" i="6"/>
  <c r="Z65" i="6" s="1"/>
  <c r="AA62" i="6" s="1"/>
  <c r="AA64" i="6" s="1"/>
  <c r="V29" i="11" l="1"/>
  <c r="T22" i="5"/>
  <c r="T23" i="5" s="1"/>
  <c r="AA24" i="6"/>
  <c r="Q17" i="13"/>
  <c r="Q18" i="13"/>
  <c r="P20" i="13"/>
  <c r="P19" i="13"/>
  <c r="AA65" i="6"/>
  <c r="AB62" i="6" s="1"/>
  <c r="AB64" i="6" s="1"/>
  <c r="R26" i="5"/>
  <c r="R27" i="5" s="1"/>
  <c r="O23" i="13"/>
  <c r="O25" i="13"/>
  <c r="AD35" i="6"/>
  <c r="AC40" i="6"/>
  <c r="V11" i="5" s="1"/>
  <c r="S34" i="11"/>
  <c r="S36" i="11" s="1"/>
  <c r="S37" i="11" s="1"/>
  <c r="S22" i="5"/>
  <c r="S23" i="5" s="1"/>
  <c r="Z24" i="6"/>
  <c r="Z66" i="6"/>
  <c r="U22" i="5" l="1"/>
  <c r="U23" i="5" s="1"/>
  <c r="AB24" i="6"/>
  <c r="R28" i="5"/>
  <c r="R5" i="13"/>
  <c r="R16" i="13" s="1"/>
  <c r="W29" i="11"/>
  <c r="AD37" i="6"/>
  <c r="P22" i="13"/>
  <c r="P21" i="13"/>
  <c r="AA66" i="6"/>
  <c r="Q20" i="13"/>
  <c r="Q19" i="13"/>
  <c r="AB65" i="6"/>
  <c r="AC62" i="6" s="1"/>
  <c r="AC64" i="6" s="1"/>
  <c r="T30" i="11"/>
  <c r="T27" i="11" s="1"/>
  <c r="T32" i="11" s="1"/>
  <c r="S12" i="5"/>
  <c r="S10" i="5" s="1"/>
  <c r="S13" i="5" s="1"/>
  <c r="S24" i="5" s="1"/>
  <c r="S25" i="5" s="1"/>
  <c r="Z23" i="6"/>
  <c r="V22" i="5" l="1"/>
  <c r="V23" i="5" s="1"/>
  <c r="AC24" i="6"/>
  <c r="AD39" i="6"/>
  <c r="AE35" i="6" s="1"/>
  <c r="AE37" i="6" s="1"/>
  <c r="X21" i="5" s="1"/>
  <c r="W21" i="5"/>
  <c r="W23" i="5" s="1"/>
  <c r="AB66" i="6"/>
  <c r="U12" i="5" s="1"/>
  <c r="U10" i="5" s="1"/>
  <c r="U13" i="5" s="1"/>
  <c r="U24" i="5" s="1"/>
  <c r="U25" i="5" s="1"/>
  <c r="T34" i="11"/>
  <c r="T36" i="11" s="1"/>
  <c r="T37" i="11" s="1"/>
  <c r="AD24" i="6"/>
  <c r="Q22" i="13"/>
  <c r="Q21" i="13"/>
  <c r="AC65" i="6"/>
  <c r="AD62" i="6" s="1"/>
  <c r="U30" i="11"/>
  <c r="U27" i="11" s="1"/>
  <c r="U32" i="11" s="1"/>
  <c r="T12" i="5"/>
  <c r="T10" i="5" s="1"/>
  <c r="T13" i="5" s="1"/>
  <c r="T24" i="5" s="1"/>
  <c r="T25" i="5" s="1"/>
  <c r="AA23" i="6"/>
  <c r="R17" i="13"/>
  <c r="R18" i="13"/>
  <c r="AD40" i="6"/>
  <c r="W11" i="5" s="1"/>
  <c r="S26" i="5"/>
  <c r="S27" i="5" s="1"/>
  <c r="P25" i="13"/>
  <c r="P23" i="13"/>
  <c r="AB23" i="6" l="1"/>
  <c r="V30" i="11"/>
  <c r="V27" i="11" s="1"/>
  <c r="V32" i="11" s="1"/>
  <c r="V34" i="11" s="1"/>
  <c r="V36" i="11" s="1"/>
  <c r="V37" i="11" s="1"/>
  <c r="S5" i="13"/>
  <c r="S16" i="13" s="1"/>
  <c r="S28" i="5"/>
  <c r="AE24" i="6"/>
  <c r="X23" i="5"/>
  <c r="Q25" i="13"/>
  <c r="Q23" i="13"/>
  <c r="T26" i="5"/>
  <c r="T27" i="5" s="1"/>
  <c r="U34" i="11"/>
  <c r="U36" i="11" s="1"/>
  <c r="U37" i="11" s="1"/>
  <c r="AD65" i="6"/>
  <c r="AE62" i="6" s="1"/>
  <c r="U26" i="5"/>
  <c r="U27" i="5" s="1"/>
  <c r="AE39" i="6"/>
  <c r="AC66" i="6"/>
  <c r="X29" i="11"/>
  <c r="R19" i="13"/>
  <c r="R20" i="13"/>
  <c r="U5" i="13" l="1"/>
  <c r="U16" i="13" s="1"/>
  <c r="R21" i="13"/>
  <c r="R22" i="13"/>
  <c r="AD66" i="6"/>
  <c r="T5" i="13"/>
  <c r="T16" i="13" s="1"/>
  <c r="T28" i="5"/>
  <c r="U28" i="5" s="1"/>
  <c r="AE65" i="6"/>
  <c r="AF62" i="6" s="1"/>
  <c r="V12" i="5"/>
  <c r="V10" i="5" s="1"/>
  <c r="V13" i="5" s="1"/>
  <c r="V24" i="5" s="1"/>
  <c r="V25" i="5" s="1"/>
  <c r="W30" i="11"/>
  <c r="W27" i="11" s="1"/>
  <c r="W32" i="11" s="1"/>
  <c r="AC23" i="6"/>
  <c r="AF35" i="6"/>
  <c r="AE40" i="6"/>
  <c r="X11" i="5" s="1"/>
  <c r="S18" i="13"/>
  <c r="S17" i="13"/>
  <c r="W12" i="5" l="1"/>
  <c r="W10" i="5" s="1"/>
  <c r="W13" i="5" s="1"/>
  <c r="W24" i="5" s="1"/>
  <c r="W25" i="5" s="1"/>
  <c r="X30" i="11"/>
  <c r="X27" i="11" s="1"/>
  <c r="X32" i="11" s="1"/>
  <c r="AD23" i="6"/>
  <c r="Y29" i="11"/>
  <c r="V26" i="5"/>
  <c r="V27" i="5" s="1"/>
  <c r="R23" i="13"/>
  <c r="R24" i="13"/>
  <c r="AF37" i="6"/>
  <c r="T17" i="13"/>
  <c r="T18" i="13"/>
  <c r="W34" i="11"/>
  <c r="W36" i="11" s="1"/>
  <c r="W37" i="11" s="1"/>
  <c r="AF65" i="6"/>
  <c r="AG62" i="6" s="1"/>
  <c r="U17" i="13"/>
  <c r="U18" i="13"/>
  <c r="S19" i="13"/>
  <c r="S20" i="13"/>
  <c r="AE66" i="6"/>
  <c r="AE23" i="6" s="1"/>
  <c r="AF39" i="6" l="1"/>
  <c r="AF40" i="6" s="1"/>
  <c r="Y21" i="5"/>
  <c r="Y23" i="5" s="1"/>
  <c r="AG65" i="6"/>
  <c r="AH62" i="6" s="1"/>
  <c r="U19" i="13"/>
  <c r="U20" i="13"/>
  <c r="AF66" i="6"/>
  <c r="R27" i="13"/>
  <c r="R25" i="13"/>
  <c r="X34" i="11"/>
  <c r="X36" i="11" s="1"/>
  <c r="X37" i="11" s="1"/>
  <c r="V28" i="5"/>
  <c r="V5" i="13"/>
  <c r="V16" i="13" s="1"/>
  <c r="AF24" i="6"/>
  <c r="X12" i="5"/>
  <c r="X10" i="5" s="1"/>
  <c r="X13" i="5" s="1"/>
  <c r="X24" i="5" s="1"/>
  <c r="X25" i="5" s="1"/>
  <c r="Y30" i="11"/>
  <c r="Y27" i="11" s="1"/>
  <c r="Y32" i="11" s="1"/>
  <c r="S21" i="13"/>
  <c r="S22" i="13"/>
  <c r="T19" i="13"/>
  <c r="T20" i="13"/>
  <c r="W26" i="5"/>
  <c r="W27" i="5" s="1"/>
  <c r="AG35" i="6" l="1"/>
  <c r="AG37" i="6" s="1"/>
  <c r="Z21" i="5" s="1"/>
  <c r="Z23" i="5" s="1"/>
  <c r="Z29" i="11"/>
  <c r="Y11" i="5"/>
  <c r="X26" i="5"/>
  <c r="X27" i="5" s="1"/>
  <c r="Y34" i="11"/>
  <c r="Y36" i="11" s="1"/>
  <c r="Y37" i="11" s="1"/>
  <c r="AH65" i="6"/>
  <c r="AI62" i="6" s="1"/>
  <c r="T21" i="13"/>
  <c r="T22" i="13"/>
  <c r="AG66" i="6"/>
  <c r="W28" i="5"/>
  <c r="W5" i="13"/>
  <c r="W16" i="13" s="1"/>
  <c r="Y12" i="5"/>
  <c r="Z30" i="11"/>
  <c r="Z27" i="11" s="1"/>
  <c r="Z32" i="11" s="1"/>
  <c r="S23" i="13"/>
  <c r="S24" i="13"/>
  <c r="AF23" i="6"/>
  <c r="V18" i="13"/>
  <c r="V17" i="13"/>
  <c r="U21" i="13"/>
  <c r="U22" i="13"/>
  <c r="AG24" i="6" l="1"/>
  <c r="AG39" i="6"/>
  <c r="AH35" i="6" s="1"/>
  <c r="AH37" i="6" s="1"/>
  <c r="AA21" i="5" s="1"/>
  <c r="AA23" i="5" s="1"/>
  <c r="Y10" i="5"/>
  <c r="Y13" i="5" s="1"/>
  <c r="Y24" i="5" s="1"/>
  <c r="Y25" i="5" s="1"/>
  <c r="Y26" i="5" s="1"/>
  <c r="Y27" i="5" s="1"/>
  <c r="Z34" i="11"/>
  <c r="Z36" i="11" s="1"/>
  <c r="Z37" i="11" s="1"/>
  <c r="AI65" i="6"/>
  <c r="AJ62" i="6" s="1"/>
  <c r="T24" i="13"/>
  <c r="T23" i="13"/>
  <c r="AH66" i="6"/>
  <c r="U23" i="13"/>
  <c r="U24" i="13"/>
  <c r="W17" i="13"/>
  <c r="W18" i="13"/>
  <c r="X28" i="5"/>
  <c r="X5" i="13"/>
  <c r="X16" i="13" s="1"/>
  <c r="S25" i="13"/>
  <c r="S27" i="13"/>
  <c r="V20" i="13"/>
  <c r="V19" i="13"/>
  <c r="AA30" i="11"/>
  <c r="Z12" i="5"/>
  <c r="AH24" i="6" l="1"/>
  <c r="AH39" i="6"/>
  <c r="AG40" i="6"/>
  <c r="Z11" i="5" s="1"/>
  <c r="Z10" i="5" s="1"/>
  <c r="Z13" i="5" s="1"/>
  <c r="Z24" i="5" s="1"/>
  <c r="Z25" i="5" s="1"/>
  <c r="Z26" i="5" s="1"/>
  <c r="Z27" i="5" s="1"/>
  <c r="Y28" i="5"/>
  <c r="Y5" i="13"/>
  <c r="Y16" i="13" s="1"/>
  <c r="T25" i="13"/>
  <c r="T27" i="13"/>
  <c r="AJ65" i="6"/>
  <c r="AK62" i="6" s="1"/>
  <c r="AI66" i="6"/>
  <c r="U25" i="13"/>
  <c r="U26" i="13"/>
  <c r="X17" i="13"/>
  <c r="X18" i="13"/>
  <c r="W20" i="13"/>
  <c r="W19" i="13"/>
  <c r="V21" i="13"/>
  <c r="V22" i="13"/>
  <c r="AB30" i="11"/>
  <c r="AA12" i="5"/>
  <c r="AA29" i="11" l="1"/>
  <c r="AA27" i="11" s="1"/>
  <c r="AA32" i="11" s="1"/>
  <c r="AA34" i="11" s="1"/>
  <c r="AA36" i="11" s="1"/>
  <c r="AA37" i="11" s="1"/>
  <c r="AG23" i="6"/>
  <c r="AH40" i="6"/>
  <c r="AI35" i="6"/>
  <c r="Z28" i="5"/>
  <c r="Z5" i="13"/>
  <c r="Z16" i="13" s="1"/>
  <c r="AB12" i="5"/>
  <c r="AC30" i="11"/>
  <c r="X19" i="13"/>
  <c r="X20" i="13"/>
  <c r="U27" i="13"/>
  <c r="U29" i="13"/>
  <c r="AK65" i="6"/>
  <c r="AL62" i="6" s="1"/>
  <c r="Y17" i="13"/>
  <c r="Y18" i="13"/>
  <c r="V24" i="13"/>
  <c r="V23" i="13"/>
  <c r="W21" i="13"/>
  <c r="W22" i="13"/>
  <c r="AJ66" i="6"/>
  <c r="AI37" i="6" l="1"/>
  <c r="AI39" i="6" s="1"/>
  <c r="AH23" i="6"/>
  <c r="AB29" i="11"/>
  <c r="AB27" i="11" s="1"/>
  <c r="AB32" i="11" s="1"/>
  <c r="AB34" i="11" s="1"/>
  <c r="AB36" i="11" s="1"/>
  <c r="AB37" i="11" s="1"/>
  <c r="AA11" i="5"/>
  <c r="AA10" i="5" s="1"/>
  <c r="AA13" i="5" s="1"/>
  <c r="AA24" i="5" s="1"/>
  <c r="AA25" i="5" s="1"/>
  <c r="AA26" i="5" s="1"/>
  <c r="AA27" i="5" s="1"/>
  <c r="AA28" i="5" s="1"/>
  <c r="AK66" i="6"/>
  <c r="AD12" i="5" s="1"/>
  <c r="X21" i="13"/>
  <c r="X22" i="13"/>
  <c r="Y19" i="13"/>
  <c r="Y20" i="13"/>
  <c r="V25" i="13"/>
  <c r="V26" i="13"/>
  <c r="AL65" i="6"/>
  <c r="AM62" i="6" s="1"/>
  <c r="AC12" i="5"/>
  <c r="AD30" i="11"/>
  <c r="Z17" i="13"/>
  <c r="Z18" i="13"/>
  <c r="W23" i="13"/>
  <c r="W24" i="13"/>
  <c r="AA5" i="13" l="1"/>
  <c r="AA16" i="13" s="1"/>
  <c r="AA17" i="13" s="1"/>
  <c r="AJ35" i="6"/>
  <c r="AI40" i="6"/>
  <c r="AI24" i="6"/>
  <c r="AB21" i="5"/>
  <c r="AB23" i="5" s="1"/>
  <c r="AE30" i="11"/>
  <c r="AL66" i="6"/>
  <c r="AF30" i="11" s="1"/>
  <c r="V29" i="13"/>
  <c r="V27" i="13"/>
  <c r="Y21" i="13"/>
  <c r="Y22" i="13"/>
  <c r="X23" i="13"/>
  <c r="X24" i="13"/>
  <c r="W25" i="13"/>
  <c r="W26" i="13"/>
  <c r="AM65" i="6"/>
  <c r="AN62" i="6" s="1"/>
  <c r="Z19" i="13"/>
  <c r="Z20" i="13"/>
  <c r="AA18" i="13" l="1"/>
  <c r="AA20" i="13" s="1"/>
  <c r="AB11" i="5"/>
  <c r="AB10" i="5" s="1"/>
  <c r="AB13" i="5" s="1"/>
  <c r="AB24" i="5" s="1"/>
  <c r="AB25" i="5" s="1"/>
  <c r="AB26" i="5" s="1"/>
  <c r="AB27" i="5" s="1"/>
  <c r="AI23" i="6"/>
  <c r="AC29" i="11"/>
  <c r="AC27" i="11" s="1"/>
  <c r="AC32" i="11" s="1"/>
  <c r="AC34" i="11" s="1"/>
  <c r="AC36" i="11" s="1"/>
  <c r="AC37" i="11" s="1"/>
  <c r="AJ37" i="6"/>
  <c r="AJ39" i="6" s="1"/>
  <c r="AE12" i="5"/>
  <c r="AM66" i="6"/>
  <c r="AG30" i="11" s="1"/>
  <c r="W27" i="13"/>
  <c r="W29" i="13"/>
  <c r="Z21" i="13"/>
  <c r="Z22" i="13"/>
  <c r="AN65" i="6"/>
  <c r="AO62" i="6" s="1"/>
  <c r="X25" i="13"/>
  <c r="X26" i="13"/>
  <c r="Y24" i="13"/>
  <c r="Y23" i="13"/>
  <c r="AA19" i="13"/>
  <c r="AF12" i="5" l="1"/>
  <c r="AK35" i="6"/>
  <c r="AJ40" i="6"/>
  <c r="AJ24" i="6"/>
  <c r="AC21" i="5"/>
  <c r="AC23" i="5" s="1"/>
  <c r="AB28" i="5"/>
  <c r="AB5" i="13"/>
  <c r="AB16" i="13" s="1"/>
  <c r="AN66" i="6"/>
  <c r="AG12" i="5" s="1"/>
  <c r="Y26" i="13"/>
  <c r="Y25" i="13"/>
  <c r="AO65" i="6"/>
  <c r="AP62" i="6" s="1"/>
  <c r="X27" i="13"/>
  <c r="X28" i="13"/>
  <c r="Z24" i="13"/>
  <c r="Z23" i="13"/>
  <c r="AA21" i="13"/>
  <c r="AA22" i="13"/>
  <c r="AH30" i="11" l="1"/>
  <c r="AB17" i="13"/>
  <c r="AB18" i="13"/>
  <c r="AC11" i="5"/>
  <c r="AC10" i="5" s="1"/>
  <c r="AC13" i="5" s="1"/>
  <c r="AC24" i="5" s="1"/>
  <c r="AC25" i="5" s="1"/>
  <c r="AC26" i="5" s="1"/>
  <c r="AC27" i="5" s="1"/>
  <c r="AJ23" i="6"/>
  <c r="AD29" i="11"/>
  <c r="AD27" i="11" s="1"/>
  <c r="AD32" i="11" s="1"/>
  <c r="AD34" i="11" s="1"/>
  <c r="AD36" i="11" s="1"/>
  <c r="AD37" i="11" s="1"/>
  <c r="AK37" i="6"/>
  <c r="AK39" i="6" s="1"/>
  <c r="AO66" i="6"/>
  <c r="AI30" i="11" s="1"/>
  <c r="Z26" i="13"/>
  <c r="Z25" i="13"/>
  <c r="Y28" i="13"/>
  <c r="Y27" i="13"/>
  <c r="AA23" i="13"/>
  <c r="AA24" i="13"/>
  <c r="X31" i="13"/>
  <c r="X29" i="13"/>
  <c r="AP65" i="6"/>
  <c r="AQ62" i="6" s="1"/>
  <c r="AH12" i="5" l="1"/>
  <c r="AL35" i="6"/>
  <c r="AK40" i="6"/>
  <c r="AD11" i="5" s="1"/>
  <c r="AD10" i="5" s="1"/>
  <c r="AD13" i="5" s="1"/>
  <c r="AL37" i="6"/>
  <c r="AL39" i="6" s="1"/>
  <c r="AM35" i="6" s="1"/>
  <c r="AC28" i="5"/>
  <c r="AC5" i="13"/>
  <c r="AC16" i="13" s="1"/>
  <c r="AB20" i="13"/>
  <c r="AB19" i="13"/>
  <c r="AD21" i="5"/>
  <c r="AD23" i="5" s="1"/>
  <c r="AK24" i="6"/>
  <c r="AQ65" i="6"/>
  <c r="AR62" i="6" s="1"/>
  <c r="Y31" i="13"/>
  <c r="Y29" i="13"/>
  <c r="AA25" i="13"/>
  <c r="AA26" i="13"/>
  <c r="AP66" i="6"/>
  <c r="Z27" i="13"/>
  <c r="Z28" i="13"/>
  <c r="AK23" i="6" l="1"/>
  <c r="AE29" i="11"/>
  <c r="AE27" i="11" s="1"/>
  <c r="AE32" i="11" s="1"/>
  <c r="AE34" i="11" s="1"/>
  <c r="AE36" i="11" s="1"/>
  <c r="AE37" i="11" s="1"/>
  <c r="AL40" i="6"/>
  <c r="AE11" i="5" s="1"/>
  <c r="AE10" i="5" s="1"/>
  <c r="AE13" i="5" s="1"/>
  <c r="AM37" i="6"/>
  <c r="AM39" i="6" s="1"/>
  <c r="AE21" i="5"/>
  <c r="AE23" i="5" s="1"/>
  <c r="AL24" i="6"/>
  <c r="AC18" i="13"/>
  <c r="AC17" i="13"/>
  <c r="AB22" i="13"/>
  <c r="AB21" i="13"/>
  <c r="AD24" i="5"/>
  <c r="AD25" i="5" s="1"/>
  <c r="AD26" i="5" s="1"/>
  <c r="AD27" i="5" s="1"/>
  <c r="AD5" i="13" s="1"/>
  <c r="AD16" i="13" s="1"/>
  <c r="AR65" i="6"/>
  <c r="AS62" i="6" s="1"/>
  <c r="Z31" i="13"/>
  <c r="Z29" i="13"/>
  <c r="AA27" i="13"/>
  <c r="AA28" i="13"/>
  <c r="AI12" i="5"/>
  <c r="AJ30" i="11"/>
  <c r="AQ66" i="6"/>
  <c r="AF29" i="11" l="1"/>
  <c r="AF27" i="11" s="1"/>
  <c r="AF32" i="11" s="1"/>
  <c r="AF34" i="11" s="1"/>
  <c r="AF36" i="11" s="1"/>
  <c r="AF37" i="11" s="1"/>
  <c r="AL23" i="6"/>
  <c r="AF21" i="5"/>
  <c r="AF23" i="5" s="1"/>
  <c r="AM24" i="6"/>
  <c r="AD17" i="13"/>
  <c r="AD18" i="13"/>
  <c r="AB23" i="13"/>
  <c r="AB24" i="13"/>
  <c r="AN35" i="6"/>
  <c r="AM40" i="6"/>
  <c r="AE24" i="5"/>
  <c r="AE25" i="5" s="1"/>
  <c r="AE26" i="5" s="1"/>
  <c r="AE27" i="5" s="1"/>
  <c r="AC19" i="13"/>
  <c r="AC20" i="13"/>
  <c r="AD28" i="5"/>
  <c r="AS65" i="6"/>
  <c r="AT62" i="6" s="1"/>
  <c r="AR66" i="6"/>
  <c r="AJ12" i="5"/>
  <c r="AK30" i="11"/>
  <c r="AA29" i="13"/>
  <c r="AA30" i="13"/>
  <c r="AN37" i="6" l="1"/>
  <c r="AN39" i="6" s="1"/>
  <c r="AB26" i="13"/>
  <c r="AB25" i="13"/>
  <c r="AD19" i="13"/>
  <c r="AD20" i="13"/>
  <c r="AF11" i="5"/>
  <c r="AF10" i="5" s="1"/>
  <c r="AF13" i="5" s="1"/>
  <c r="AF24" i="5" s="1"/>
  <c r="AF25" i="5" s="1"/>
  <c r="AF26" i="5" s="1"/>
  <c r="AF27" i="5" s="1"/>
  <c r="AM23" i="6"/>
  <c r="AG29" i="11"/>
  <c r="AG27" i="11" s="1"/>
  <c r="AG32" i="11" s="1"/>
  <c r="AG34" i="11" s="1"/>
  <c r="AG36" i="11" s="1"/>
  <c r="AG37" i="11" s="1"/>
  <c r="AC21" i="13"/>
  <c r="AC22" i="13"/>
  <c r="AE28" i="5"/>
  <c r="AE5" i="13"/>
  <c r="AE16" i="13" s="1"/>
  <c r="AS66" i="6"/>
  <c r="AA31" i="13"/>
  <c r="AA33" i="13"/>
  <c r="AK12" i="5"/>
  <c r="AL30" i="11"/>
  <c r="AT65" i="6"/>
  <c r="AU62" i="6" s="1"/>
  <c r="AO35" i="6" l="1"/>
  <c r="AO37" i="6" s="1"/>
  <c r="AO39" i="6" s="1"/>
  <c r="AP35" i="6" s="1"/>
  <c r="AP37" i="6" s="1"/>
  <c r="AN40" i="6"/>
  <c r="AG11" i="5" s="1"/>
  <c r="AG10" i="5" s="1"/>
  <c r="AG13" i="5" s="1"/>
  <c r="AD21" i="13"/>
  <c r="AD22" i="13"/>
  <c r="AE18" i="13"/>
  <c r="AE17" i="13"/>
  <c r="AF28" i="5"/>
  <c r="AF5" i="13"/>
  <c r="AF16" i="13" s="1"/>
  <c r="AC23" i="13"/>
  <c r="AC24" i="13"/>
  <c r="AB27" i="13"/>
  <c r="AB28" i="13"/>
  <c r="AH29" i="11"/>
  <c r="AH27" i="11" s="1"/>
  <c r="AH32" i="11" s="1"/>
  <c r="AH34" i="11" s="1"/>
  <c r="AH36" i="11" s="1"/>
  <c r="AH37" i="11" s="1"/>
  <c r="AN23" i="6"/>
  <c r="AN24" i="6"/>
  <c r="AG21" i="5"/>
  <c r="AG23" i="5" s="1"/>
  <c r="AT66" i="6"/>
  <c r="AM12" i="5" s="1"/>
  <c r="AU65" i="6"/>
  <c r="AU66" i="6" s="1"/>
  <c r="AM30" i="11"/>
  <c r="AL12" i="5"/>
  <c r="AN30" i="11" l="1"/>
  <c r="AG24" i="5"/>
  <c r="AG25" i="5" s="1"/>
  <c r="AG26" i="5" s="1"/>
  <c r="AG27" i="5" s="1"/>
  <c r="AG28" i="5" s="1"/>
  <c r="AI21" i="5"/>
  <c r="AI23" i="5" s="1"/>
  <c r="AP24" i="6"/>
  <c r="AO40" i="6"/>
  <c r="AH11" i="5" s="1"/>
  <c r="AH10" i="5" s="1"/>
  <c r="AH13" i="5" s="1"/>
  <c r="AP39" i="6"/>
  <c r="AQ35" i="6" s="1"/>
  <c r="AQ37" i="6" s="1"/>
  <c r="AC25" i="13"/>
  <c r="AC26" i="13"/>
  <c r="AO24" i="6"/>
  <c r="AH21" i="5"/>
  <c r="AH23" i="5" s="1"/>
  <c r="AF18" i="13"/>
  <c r="AF17" i="13"/>
  <c r="AE19" i="13"/>
  <c r="AE20" i="13"/>
  <c r="AB30" i="13"/>
  <c r="AB29" i="13"/>
  <c r="AD23" i="13"/>
  <c r="AD24" i="13"/>
  <c r="AN12" i="5"/>
  <c r="AO30" i="11"/>
  <c r="AP40" i="6" l="1"/>
  <c r="AJ29" i="11" s="1"/>
  <c r="AJ27" i="11" s="1"/>
  <c r="AJ32" i="11" s="1"/>
  <c r="AJ34" i="11" s="1"/>
  <c r="AJ36" i="11" s="1"/>
  <c r="AJ37" i="11" s="1"/>
  <c r="AO23" i="6"/>
  <c r="AI29" i="11"/>
  <c r="AI27" i="11" s="1"/>
  <c r="AI32" i="11" s="1"/>
  <c r="AI34" i="11" s="1"/>
  <c r="AI36" i="11" s="1"/>
  <c r="AI37" i="11" s="1"/>
  <c r="AG5" i="13"/>
  <c r="AG16" i="13" s="1"/>
  <c r="AQ24" i="6"/>
  <c r="AJ21" i="5"/>
  <c r="AJ23" i="5" s="1"/>
  <c r="AF19" i="13"/>
  <c r="AF20" i="13"/>
  <c r="AB33" i="13"/>
  <c r="AB31" i="13"/>
  <c r="AE21" i="13"/>
  <c r="AE22" i="13"/>
  <c r="AC27" i="13"/>
  <c r="AC28" i="13"/>
  <c r="AG17" i="13"/>
  <c r="AG18" i="13"/>
  <c r="AD25" i="13"/>
  <c r="AD26" i="13"/>
  <c r="AH24" i="5"/>
  <c r="AH25" i="5" s="1"/>
  <c r="AH26" i="5" s="1"/>
  <c r="AH27" i="5" s="1"/>
  <c r="AQ39" i="6"/>
  <c r="AR35" i="6" s="1"/>
  <c r="AR37" i="6" s="1"/>
  <c r="AI11" i="5" l="1"/>
  <c r="AI10" i="5" s="1"/>
  <c r="AI13" i="5" s="1"/>
  <c r="AI24" i="5" s="1"/>
  <c r="AI25" i="5" s="1"/>
  <c r="AI26" i="5" s="1"/>
  <c r="AI27" i="5" s="1"/>
  <c r="AI5" i="13" s="1"/>
  <c r="AI16" i="13" s="1"/>
  <c r="AP23" i="6"/>
  <c r="AK21" i="5"/>
  <c r="AK23" i="5" s="1"/>
  <c r="AR24" i="6"/>
  <c r="AH28" i="5"/>
  <c r="AH5" i="13"/>
  <c r="AH16" i="13" s="1"/>
  <c r="AC29" i="13"/>
  <c r="AC30" i="13"/>
  <c r="AD27" i="13"/>
  <c r="AD28" i="13"/>
  <c r="AE24" i="13"/>
  <c r="AE23" i="13"/>
  <c r="AQ40" i="6"/>
  <c r="AG19" i="13"/>
  <c r="AG20" i="13"/>
  <c r="AF22" i="13"/>
  <c r="AF21" i="13"/>
  <c r="AR39" i="6"/>
  <c r="AS35" i="6" s="1"/>
  <c r="AI28" i="5" l="1"/>
  <c r="AD29" i="13"/>
  <c r="AD30" i="13"/>
  <c r="AD32" i="13" s="1"/>
  <c r="AG21" i="13"/>
  <c r="AG22" i="13"/>
  <c r="AE25" i="13"/>
  <c r="AE26" i="13"/>
  <c r="AJ11" i="5"/>
  <c r="AJ10" i="5" s="1"/>
  <c r="AJ13" i="5" s="1"/>
  <c r="AJ24" i="5" s="1"/>
  <c r="AJ25" i="5" s="1"/>
  <c r="AJ26" i="5" s="1"/>
  <c r="AJ27" i="5" s="1"/>
  <c r="AK29" i="11"/>
  <c r="AK27" i="11" s="1"/>
  <c r="AK32" i="11" s="1"/>
  <c r="AK34" i="11" s="1"/>
  <c r="AK36" i="11" s="1"/>
  <c r="AK37" i="11" s="1"/>
  <c r="AQ23" i="6"/>
  <c r="AF23" i="13"/>
  <c r="AF24" i="13"/>
  <c r="AI17" i="13"/>
  <c r="AI18" i="13"/>
  <c r="AH17" i="13"/>
  <c r="AH18" i="13"/>
  <c r="AS39" i="6"/>
  <c r="AT35" i="6" s="1"/>
  <c r="AC31" i="13"/>
  <c r="AC33" i="13"/>
  <c r="AR40" i="6"/>
  <c r="AT39" i="6" l="1"/>
  <c r="AU35" i="6" s="1"/>
  <c r="AU39" i="6" s="1"/>
  <c r="AU40" i="6" s="1"/>
  <c r="AE28" i="13"/>
  <c r="AE27" i="13"/>
  <c r="AI20" i="13"/>
  <c r="AI19" i="13"/>
  <c r="AG24" i="13"/>
  <c r="AG23" i="13"/>
  <c r="AF26" i="13"/>
  <c r="AF25" i="13"/>
  <c r="AJ5" i="13"/>
  <c r="AJ16" i="13" s="1"/>
  <c r="AJ28" i="5"/>
  <c r="AK11" i="5"/>
  <c r="AK10" i="5" s="1"/>
  <c r="AK13" i="5" s="1"/>
  <c r="AK24" i="5" s="1"/>
  <c r="AK25" i="5" s="1"/>
  <c r="AK26" i="5" s="1"/>
  <c r="AK27" i="5" s="1"/>
  <c r="AR23" i="6"/>
  <c r="AL29" i="11"/>
  <c r="AL27" i="11" s="1"/>
  <c r="AL32" i="11" s="1"/>
  <c r="AL34" i="11" s="1"/>
  <c r="AL36" i="11" s="1"/>
  <c r="AL37" i="11" s="1"/>
  <c r="AD31" i="13"/>
  <c r="AH19" i="13"/>
  <c r="AH20" i="13"/>
  <c r="AS40" i="6"/>
  <c r="AT40" i="6" l="1"/>
  <c r="AT23" i="6" s="1"/>
  <c r="AG25" i="13"/>
  <c r="AG26" i="13"/>
  <c r="AK28" i="5"/>
  <c r="AK5" i="13"/>
  <c r="AK16" i="13" s="1"/>
  <c r="AI22" i="13"/>
  <c r="AI21" i="13"/>
  <c r="AL11" i="5"/>
  <c r="AL10" i="5" s="1"/>
  <c r="AL13" i="5" s="1"/>
  <c r="AL24" i="5" s="1"/>
  <c r="AL25" i="5" s="1"/>
  <c r="AL26" i="5" s="1"/>
  <c r="AL27" i="5" s="1"/>
  <c r="AM29" i="11"/>
  <c r="AM27" i="11" s="1"/>
  <c r="AM32" i="11" s="1"/>
  <c r="AM34" i="11" s="1"/>
  <c r="AM36" i="11" s="1"/>
  <c r="AM37" i="11" s="1"/>
  <c r="AS23" i="6"/>
  <c r="AH22" i="13"/>
  <c r="AH21" i="13"/>
  <c r="AJ17" i="13"/>
  <c r="AJ18" i="13"/>
  <c r="AE30" i="13"/>
  <c r="AE32" i="13" s="1"/>
  <c r="AE29" i="13"/>
  <c r="AD35" i="13"/>
  <c r="AD33" i="13"/>
  <c r="AF27" i="13"/>
  <c r="AF28" i="13"/>
  <c r="AN11" i="5"/>
  <c r="AN10" i="5" s="1"/>
  <c r="AN13" i="5" s="1"/>
  <c r="AN24" i="5" s="1"/>
  <c r="AN25" i="5" s="1"/>
  <c r="AN26" i="5" s="1"/>
  <c r="AN27" i="5" s="1"/>
  <c r="AU23" i="6"/>
  <c r="AO29" i="11"/>
  <c r="AO27" i="11" s="1"/>
  <c r="AO32" i="11" s="1"/>
  <c r="AO34" i="11" s="1"/>
  <c r="AO36" i="11" s="1"/>
  <c r="AO37" i="11" s="1"/>
  <c r="AM11" i="5" l="1"/>
  <c r="AM10" i="5" s="1"/>
  <c r="AM13" i="5" s="1"/>
  <c r="AM24" i="5" s="1"/>
  <c r="AM25" i="5" s="1"/>
  <c r="AM26" i="5" s="1"/>
  <c r="AM27" i="5" s="1"/>
  <c r="AM5" i="13" s="1"/>
  <c r="AM16" i="13" s="1"/>
  <c r="AM17" i="13" s="1"/>
  <c r="AN29" i="11"/>
  <c r="AN27" i="11" s="1"/>
  <c r="AN32" i="11" s="1"/>
  <c r="AN34" i="11" s="1"/>
  <c r="AN36" i="11" s="1"/>
  <c r="AN37" i="11" s="1"/>
  <c r="AL28" i="5"/>
  <c r="AL5" i="13"/>
  <c r="B58" i="9"/>
  <c r="B59" i="9" s="1"/>
  <c r="C31" i="5"/>
  <c r="C33" i="5" s="1"/>
  <c r="AF30" i="13"/>
  <c r="AF32" i="13" s="1"/>
  <c r="AF29" i="13"/>
  <c r="AE31" i="13"/>
  <c r="AN5" i="13"/>
  <c r="AN16" i="13" s="1"/>
  <c r="AN18" i="13" s="1"/>
  <c r="AJ20" i="13"/>
  <c r="AJ19" i="13"/>
  <c r="AI24" i="13"/>
  <c r="AI23" i="13"/>
  <c r="AK18" i="13"/>
  <c r="AK17" i="13"/>
  <c r="AH24" i="13"/>
  <c r="AH23" i="13"/>
  <c r="AG27" i="13"/>
  <c r="AG28" i="13"/>
  <c r="C34" i="5" l="1"/>
  <c r="AM18" i="13"/>
  <c r="AM19" i="13" s="1"/>
  <c r="AM28" i="5"/>
  <c r="AN28" i="5" s="1"/>
  <c r="AO28" i="5" s="1"/>
  <c r="AP28" i="5" s="1"/>
  <c r="AQ28" i="5" s="1"/>
  <c r="AR28" i="5" s="1"/>
  <c r="AS28" i="5" s="1"/>
  <c r="AT28" i="5" s="1"/>
  <c r="AU28" i="5" s="1"/>
  <c r="AV28" i="5" s="1"/>
  <c r="AW28" i="5" s="1"/>
  <c r="AX28" i="5" s="1"/>
  <c r="AY28" i="5" s="1"/>
  <c r="AZ28" i="5" s="1"/>
  <c r="C35" i="5" s="1"/>
  <c r="AN17" i="13"/>
  <c r="AE33" i="13"/>
  <c r="AE35" i="13"/>
  <c r="AG29" i="13"/>
  <c r="AG30" i="13"/>
  <c r="AI26" i="13"/>
  <c r="AI25" i="13"/>
  <c r="AF31" i="13"/>
  <c r="AK19" i="13"/>
  <c r="AK20" i="13"/>
  <c r="AH25" i="13"/>
  <c r="AH26" i="13"/>
  <c r="AJ22" i="13"/>
  <c r="AJ21" i="13"/>
  <c r="AL16" i="13"/>
  <c r="C6" i="13"/>
  <c r="AN19" i="13"/>
  <c r="AN20" i="13"/>
  <c r="AM20" i="13" l="1"/>
  <c r="AM21" i="13" s="1"/>
  <c r="AJ23" i="13"/>
  <c r="AJ24" i="13"/>
  <c r="AH28" i="13"/>
  <c r="AH27" i="13"/>
  <c r="AM22" i="13"/>
  <c r="AI27" i="13"/>
  <c r="AI28" i="13"/>
  <c r="AK22" i="13"/>
  <c r="AK21" i="13"/>
  <c r="AG31" i="13"/>
  <c r="AG32" i="13"/>
  <c r="C8" i="13"/>
  <c r="C56" i="13"/>
  <c r="AF35" i="13"/>
  <c r="AF33" i="13"/>
  <c r="AL17" i="13"/>
  <c r="AL18" i="13"/>
  <c r="C57" i="13"/>
  <c r="C59" i="13"/>
  <c r="C61" i="13" s="1"/>
  <c r="AN21" i="13"/>
  <c r="AN22" i="13"/>
  <c r="AM23" i="13" l="1"/>
  <c r="AM24" i="13"/>
  <c r="AI29" i="13"/>
  <c r="AI30" i="13"/>
  <c r="AG34" i="13"/>
  <c r="AG33" i="13"/>
  <c r="AH30" i="13"/>
  <c r="AH29" i="13"/>
  <c r="AL20" i="13"/>
  <c r="AL19" i="13"/>
  <c r="D59" i="13"/>
  <c r="D61" i="13" s="1"/>
  <c r="D57" i="13"/>
  <c r="AJ25" i="13"/>
  <c r="AJ26" i="13"/>
  <c r="C58" i="13"/>
  <c r="D56" i="13"/>
  <c r="AK23" i="13"/>
  <c r="AK24" i="13"/>
  <c r="AN23" i="13"/>
  <c r="AN24" i="13"/>
  <c r="AH32" i="13" l="1"/>
  <c r="AH31" i="13"/>
  <c r="AG37" i="13"/>
  <c r="AG35" i="13"/>
  <c r="AJ28" i="13"/>
  <c r="AJ27" i="13"/>
  <c r="AI31" i="13"/>
  <c r="AI32" i="13"/>
  <c r="D58" i="13"/>
  <c r="E56" i="13"/>
  <c r="AK25" i="13"/>
  <c r="AK26" i="13"/>
  <c r="AM25" i="13"/>
  <c r="AM26" i="13"/>
  <c r="AL21" i="13"/>
  <c r="AL22" i="13"/>
  <c r="E57" i="13"/>
  <c r="E59" i="13"/>
  <c r="E61" i="13" s="1"/>
  <c r="AN25" i="13"/>
  <c r="AN26" i="13"/>
  <c r="AI33" i="13" l="1"/>
  <c r="AI34" i="13"/>
  <c r="AL24" i="13"/>
  <c r="AL23" i="13"/>
  <c r="F59" i="13"/>
  <c r="F61" i="13" s="1"/>
  <c r="F57" i="13"/>
  <c r="AM28" i="13"/>
  <c r="AM27" i="13"/>
  <c r="AJ29" i="13"/>
  <c r="AJ30" i="13"/>
  <c r="AK27" i="13"/>
  <c r="AK28" i="13"/>
  <c r="E58" i="13"/>
  <c r="F56" i="13"/>
  <c r="AH33" i="13"/>
  <c r="AH34" i="13"/>
  <c r="AN27" i="13"/>
  <c r="AN28" i="13"/>
  <c r="AH35" i="13" l="1"/>
  <c r="AH37" i="13"/>
  <c r="AM30" i="13"/>
  <c r="AM29" i="13"/>
  <c r="G56" i="13"/>
  <c r="F58" i="13"/>
  <c r="AK29" i="13"/>
  <c r="AK30" i="13"/>
  <c r="AL26" i="13"/>
  <c r="AL25" i="13"/>
  <c r="G59" i="13"/>
  <c r="G61" i="13" s="1"/>
  <c r="G57" i="13"/>
  <c r="AJ31" i="13"/>
  <c r="AJ32" i="13"/>
  <c r="AI35" i="13"/>
  <c r="AI37" i="13"/>
  <c r="AN30" i="13"/>
  <c r="AN29" i="13"/>
  <c r="AJ33" i="13" l="1"/>
  <c r="AJ34" i="13"/>
  <c r="AK32" i="13"/>
  <c r="AK31" i="13"/>
  <c r="G58" i="13"/>
  <c r="H56" i="13"/>
  <c r="AM32" i="13"/>
  <c r="AM31" i="13"/>
  <c r="AL28" i="13"/>
  <c r="AL27" i="13"/>
  <c r="H59" i="13"/>
  <c r="H61" i="13" s="1"/>
  <c r="H57" i="13"/>
  <c r="AN31" i="13"/>
  <c r="AN32" i="13"/>
  <c r="AM33" i="13" l="1"/>
  <c r="AM34" i="13"/>
  <c r="AK33" i="13"/>
  <c r="AK34" i="13"/>
  <c r="I56" i="13"/>
  <c r="H58" i="13"/>
  <c r="AJ35" i="13"/>
  <c r="AJ36" i="13"/>
  <c r="AL30" i="13"/>
  <c r="AL29" i="13"/>
  <c r="I59" i="13"/>
  <c r="I61" i="13" s="1"/>
  <c r="I57" i="13"/>
  <c r="AN33" i="13"/>
  <c r="AN34" i="13"/>
  <c r="AL31" i="13" l="1"/>
  <c r="AL32" i="13"/>
  <c r="J59" i="13"/>
  <c r="J61" i="13" s="1"/>
  <c r="J57" i="13"/>
  <c r="J56" i="13"/>
  <c r="I58" i="13"/>
  <c r="AK36" i="13"/>
  <c r="AK35" i="13"/>
  <c r="AJ39" i="13"/>
  <c r="AJ37" i="13"/>
  <c r="AM35" i="13"/>
  <c r="AM36" i="13"/>
  <c r="AN35" i="13"/>
  <c r="AN36" i="13"/>
  <c r="AK37" i="13" l="1"/>
  <c r="AK39" i="13"/>
  <c r="AM38" i="13"/>
  <c r="AM37" i="13"/>
  <c r="AL34" i="13"/>
  <c r="AL33" i="13"/>
  <c r="K57" i="13"/>
  <c r="K59" i="13"/>
  <c r="K61" i="13" s="1"/>
  <c r="K56" i="13"/>
  <c r="J58" i="13"/>
  <c r="AN38" i="13"/>
  <c r="AN37" i="13"/>
  <c r="AM39" i="13" l="1"/>
  <c r="AM41" i="13"/>
  <c r="K58" i="13"/>
  <c r="L56" i="13"/>
  <c r="AL36" i="13"/>
  <c r="AL35" i="13"/>
  <c r="L59" i="13"/>
  <c r="L61" i="13" s="1"/>
  <c r="L57" i="13"/>
  <c r="AN41" i="13"/>
  <c r="AN39" i="13"/>
  <c r="N57" i="13"/>
  <c r="O59" i="13"/>
  <c r="O61" i="13" s="1"/>
  <c r="N59" i="13"/>
  <c r="N61" i="13" s="1"/>
  <c r="M56" i="13" l="1"/>
  <c r="L58" i="13"/>
  <c r="AL39" i="13"/>
  <c r="AL37" i="13"/>
  <c r="M59" i="13"/>
  <c r="M61" i="13" s="1"/>
  <c r="M57" i="13"/>
  <c r="O56" i="13"/>
  <c r="O58" i="13" s="1"/>
  <c r="M58" i="13" l="1"/>
  <c r="N56" i="13"/>
  <c r="N58" i="13" s="1"/>
</calcChain>
</file>

<file path=xl/sharedStrings.xml><?xml version="1.0" encoding="utf-8"?>
<sst xmlns="http://schemas.openxmlformats.org/spreadsheetml/2006/main" count="582" uniqueCount="294">
  <si>
    <t>Konsultāciju pakalpojumi</t>
  </si>
  <si>
    <t>Ekonomikas ministrija</t>
  </si>
  <si>
    <t>Atbalsta kompensācijas un pārkompensācijas aprēķina metodika zemas īres maksas mājokļu būvniecības programmai</t>
  </si>
  <si>
    <t>WACC</t>
  </si>
  <si>
    <t>1. Makroekonomikas pieņēmumi</t>
  </si>
  <si>
    <t>%</t>
  </si>
  <si>
    <t>3. Izmaksu pieņēmumi</t>
  </si>
  <si>
    <t>m2</t>
  </si>
  <si>
    <t>euro</t>
  </si>
  <si>
    <t>euro/m2</t>
  </si>
  <si>
    <t>Dzīvokļu skaits</t>
  </si>
  <si>
    <t>Procentu maksājums</t>
  </si>
  <si>
    <t>Citas kredītiestādes aizdevums</t>
  </si>
  <si>
    <t>gadi</t>
  </si>
  <si>
    <t>Termiņš</t>
  </si>
  <si>
    <t xml:space="preserve">Īres platību noslogojums </t>
  </si>
  <si>
    <t>Īres ienākumi</t>
  </si>
  <si>
    <t>Būvniecības izmaksas</t>
  </si>
  <si>
    <t>Procentu maksājums bankai</t>
  </si>
  <si>
    <t>Ieguldījumi</t>
  </si>
  <si>
    <t>Pamatkapitāla ieguldījumu grafiks</t>
  </si>
  <si>
    <t>Pamatkapitāla ieguldījums</t>
  </si>
  <si>
    <t>Finansējuma struktūra</t>
  </si>
  <si>
    <t>Nekustamā īpašuma attīstītāja pašu kapitāla ieguldījums</t>
  </si>
  <si>
    <t>Kapitāla atlaide</t>
  </si>
  <si>
    <t>Kopā</t>
  </si>
  <si>
    <t>Daļa no kopējā finansējuma</t>
  </si>
  <si>
    <t>Apjoms</t>
  </si>
  <si>
    <t>Kopējais aizdevumu procentu maksājums</t>
  </si>
  <si>
    <t>Kopējais pamatsummas maksājums</t>
  </si>
  <si>
    <t>Procentu likme</t>
  </si>
  <si>
    <t>Aizdevuma termiņš</t>
  </si>
  <si>
    <t>Perioda sākumā</t>
  </si>
  <si>
    <t>Saņemtais aizdevums</t>
  </si>
  <si>
    <t>Pamatsummas atmaksa</t>
  </si>
  <si>
    <t>Perioda beigās</t>
  </si>
  <si>
    <t>Vadības izmaksas</t>
  </si>
  <si>
    <t>Iemaksa mājokļu fondā</t>
  </si>
  <si>
    <t>Kopējie pamatkapitāla ieguldījumi</t>
  </si>
  <si>
    <t>Saprātīga peļņa</t>
  </si>
  <si>
    <t>Ienākumi no pamatdarbības</t>
  </si>
  <si>
    <t>Izmaksas no pamatdarbības</t>
  </si>
  <si>
    <t>Procentu maksājumi</t>
  </si>
  <si>
    <t>Finansēšanas naudas plūsma</t>
  </si>
  <si>
    <t>Ieguldīšanas naudas plūsma</t>
  </si>
  <si>
    <t>Neto naudas plūsma no pamatdarbības</t>
  </si>
  <si>
    <t>Neto naudas plūsma no ieguldīšanas aktivitātēm</t>
  </si>
  <si>
    <t>Neto naudas plūsma no finansēšanas aktivitātēm</t>
  </si>
  <si>
    <t>Kopējais aizdevumu apjoms periodā</t>
  </si>
  <si>
    <t>euro,bruto/m2</t>
  </si>
  <si>
    <t>Attiecināmās izmaksas</t>
  </si>
  <si>
    <t>Neattiecināmās izmaksas</t>
  </si>
  <si>
    <t>Attiecināmās izmaksas kopā</t>
  </si>
  <si>
    <t>Kapitāla atlaides proporcija no attiecināmajām izmaksām</t>
  </si>
  <si>
    <t>WACC aprēķins</t>
  </si>
  <si>
    <t>Pieņēmumi</t>
  </si>
  <si>
    <t>Avots / paskaidrojums</t>
  </si>
  <si>
    <t>Svars/proporcija</t>
  </si>
  <si>
    <t>Citas pamatkapitāla neattiecināmās izmaksas</t>
  </si>
  <si>
    <t>Kopējais pamatkapitāla ieguldījums</t>
  </si>
  <si>
    <t>Kopējās neattiecināmās izmaksas</t>
  </si>
  <si>
    <t>WACC (investīciju projektam)</t>
  </si>
  <si>
    <r>
      <t xml:space="preserve">Nekustamā īpašuma attīstītāja pašu kapitāla ieguldījums </t>
    </r>
    <r>
      <rPr>
        <b/>
        <sz val="10"/>
        <color theme="1"/>
        <rFont val="Arial"/>
        <family val="2"/>
        <scheme val="minor"/>
      </rPr>
      <t>no kopējā finansējuma</t>
    </r>
  </si>
  <si>
    <r>
      <t xml:space="preserve">Citas kredītiestādes aizdevums </t>
    </r>
    <r>
      <rPr>
        <b/>
        <sz val="10"/>
        <color theme="1"/>
        <rFont val="Arial"/>
        <family val="2"/>
        <scheme val="minor"/>
      </rPr>
      <t>no kopējā finansējuma</t>
    </r>
  </si>
  <si>
    <t>Nekustamā īpašuma nodoklis</t>
  </si>
  <si>
    <t>Apdrošināšanas izmaksas</t>
  </si>
  <si>
    <t>% no ienākumiem</t>
  </si>
  <si>
    <t>Altum aizdevuma kredītbrīvdienu ilgums</t>
  </si>
  <si>
    <t>Ieņēmumi no pamatdarbības</t>
  </si>
  <si>
    <t>EBITDA peļņa</t>
  </si>
  <si>
    <t>EBITDA peļņas marža</t>
  </si>
  <si>
    <t>Pamatlīdzekļu nolietojums</t>
  </si>
  <si>
    <t>Ēkas</t>
  </si>
  <si>
    <t>Procentu maksājumi par Altum aizdevumu</t>
  </si>
  <si>
    <t>Procentu maksājumi par citas kredītiestādes aizdevumu</t>
  </si>
  <si>
    <t>PEĻNA PIRMS NODOKĻIEM</t>
  </si>
  <si>
    <t>Uzņēmumu ienākumu nodoklis</t>
  </si>
  <si>
    <t>NETO PEĻŅA</t>
  </si>
  <si>
    <t>Neto peļņas marža</t>
  </si>
  <si>
    <t>Euro</t>
  </si>
  <si>
    <t>Citas izmaksas</t>
  </si>
  <si>
    <t>No mājokļu izīrēšanas</t>
  </si>
  <si>
    <t>Citi ienākumi</t>
  </si>
  <si>
    <t>Pamatlīdzekļu nolietojuma grafiks</t>
  </si>
  <si>
    <t>Nolietojums pēc XX metodes</t>
  </si>
  <si>
    <t>Lietderīgās dzīves ilgums</t>
  </si>
  <si>
    <t>Pamatkapitāa ieguldījums</t>
  </si>
  <si>
    <t>Vērtība perioda sākumā</t>
  </si>
  <si>
    <t>Nolietojums</t>
  </si>
  <si>
    <t>Vērtība perioda beigās</t>
  </si>
  <si>
    <t>Pilnvarojuma gads (2 gadi būvniecības periods)</t>
  </si>
  <si>
    <t>Breakeven</t>
  </si>
  <si>
    <t>Attīstītāja iekšējā Naudas plūsma pēc nodokļiem</t>
  </si>
  <si>
    <t>Naudas plūsma pirms nodokļiem</t>
  </si>
  <si>
    <t>Delta</t>
  </si>
  <si>
    <t>NPV</t>
  </si>
  <si>
    <t>Attīstītāja iekšējā naudas plūsma</t>
  </si>
  <si>
    <t>Attīstītāja kumulatīvā diskontētā naudas plūsma pēc nodokļiem</t>
  </si>
  <si>
    <t xml:space="preserve">Pašu kapitāla cena </t>
  </si>
  <si>
    <t>Aizņemtā kapitāla cena</t>
  </si>
  <si>
    <t>Pašu kapitāla cena</t>
  </si>
  <si>
    <t>Mērvienība</t>
  </si>
  <si>
    <t>Kopējais pamatkapitāla ieguldījums bez PVN</t>
  </si>
  <si>
    <t>Nekustamā īpašuma attīstītāja ieguldījuma proporcija</t>
  </si>
  <si>
    <t>Aizdevumu finansējums</t>
  </si>
  <si>
    <t>Kopā attiecināmo izmaksu nosegtā finansējuma proporcija</t>
  </si>
  <si>
    <t>Kopā neattiecināmo izmaksu nosegtā finansējuma proporcija</t>
  </si>
  <si>
    <t>Atšķirība starp pamatkapitāla izmaksām un finansējumu</t>
  </si>
  <si>
    <t>Izmaksas</t>
  </si>
  <si>
    <t>Paskaidrojums / avoti</t>
  </si>
  <si>
    <t>Neattiecināmās izmkasas</t>
  </si>
  <si>
    <t>Neattiecināmās izmaksas uz ēkas bruto platību</t>
  </si>
  <si>
    <t>Peļņa</t>
  </si>
  <si>
    <t>Aizdevums</t>
  </si>
  <si>
    <t>Ieguldījums</t>
  </si>
  <si>
    <t>Kapitāla atlaide, euro</t>
  </si>
  <si>
    <t>Pievienotās vērtības nodoklis</t>
  </si>
  <si>
    <r>
      <t xml:space="preserve">Citas kredītiestādes aizdevuma proporcija </t>
    </r>
    <r>
      <rPr>
        <b/>
        <sz val="10"/>
        <color theme="1"/>
        <rFont val="Arial"/>
        <family val="2"/>
        <scheme val="minor"/>
      </rPr>
      <t>no attiecināmajām izmaksām</t>
    </r>
  </si>
  <si>
    <r>
      <t xml:space="preserve">Citas kredītiestādes aizdevuma proporcija </t>
    </r>
    <r>
      <rPr>
        <b/>
        <sz val="10"/>
        <color theme="1"/>
        <rFont val="Arial"/>
        <family val="2"/>
        <scheme val="minor"/>
      </rPr>
      <t>no neattiecināmajām izmaksām</t>
    </r>
  </si>
  <si>
    <r>
      <t xml:space="preserve">Ieguldījuma proporcija </t>
    </r>
    <r>
      <rPr>
        <b/>
        <sz val="10"/>
        <color theme="1"/>
        <rFont val="Arial"/>
        <family val="2"/>
        <scheme val="minor"/>
      </rPr>
      <t>no attiecināmajām izmaksām</t>
    </r>
  </si>
  <si>
    <r>
      <t xml:space="preserve">Ieguldījuma proporcija </t>
    </r>
    <r>
      <rPr>
        <b/>
        <sz val="10"/>
        <color theme="1"/>
        <rFont val="Arial"/>
        <family val="2"/>
        <scheme val="minor"/>
      </rPr>
      <t>no neattiecināmajām izmaksām</t>
    </r>
  </si>
  <si>
    <t>Uzņēmumu ienākuma nodoklis</t>
  </si>
  <si>
    <t>Aizpildāmās vērtības</t>
  </si>
  <si>
    <t>Projekta sākotnējā atdeve pret saprātīgu peļņu</t>
  </si>
  <si>
    <t>Īres maksa gadā</t>
  </si>
  <si>
    <t xml:space="preserve">Īres maksa mēnesī </t>
  </si>
  <si>
    <t>Kompensācijas tests (Kapitāla atlaides kalibrācija perioda sākumā)</t>
  </si>
  <si>
    <t>Vidējā gada kompensācija</t>
  </si>
  <si>
    <t>Pamatsummas un procentu maksājums (pirmajā gadā pēc būvniecības perioda), euro</t>
  </si>
  <si>
    <t>Aizdevuma finansējuma sadalījums</t>
  </si>
  <si>
    <t>Piemērotā kapitāla atlaides proporcija no kopējām projekta attiecināmajām izmaksām (neieskaitot PVN),%</t>
  </si>
  <si>
    <t>Piešķirtā kapitāla atlaide kā % no kopējā finansējuma, %</t>
  </si>
  <si>
    <t>Attīstītāja IRR</t>
  </si>
  <si>
    <t>Kopējās faktiskās attiecināmās izmaksas</t>
  </si>
  <si>
    <t>Nekustamā īpašuma attīstītāja ieguldījums pret kopējo aizdevuma finansējumu</t>
  </si>
  <si>
    <t>gab</t>
  </si>
  <si>
    <t>Atmaksas periods, gados (diskontēts)</t>
  </si>
  <si>
    <t>Attīstītāja peļņa (IRR)</t>
  </si>
  <si>
    <t>Saprātīga peļņa (WACC)</t>
  </si>
  <si>
    <t>Attīstītāja peļņa (IRR) perioda sākumā</t>
  </si>
  <si>
    <t>Attīstītāja peļņa (IRR) perioda gaitā</t>
  </si>
  <si>
    <t>Saprātīga peļņa (WACC) perioda sākumā</t>
  </si>
  <si>
    <t>Saprātīga peļņa (WACC) perioda gaitā</t>
  </si>
  <si>
    <t>Lauciņos ievietotas formulas</t>
  </si>
  <si>
    <t>Citas izmaksas no pamatdarbības</t>
  </si>
  <si>
    <t>Kopējais pamatkapitāla ieguldījums, euro</t>
  </si>
  <si>
    <t>Attiecināmās izmaksas uz bruto ēkas platību</t>
  </si>
  <si>
    <t>WACC perioda sākumā</t>
  </si>
  <si>
    <t>WACC perioda gaitā</t>
  </si>
  <si>
    <t>Citas kredītiestādes procentu likme</t>
  </si>
  <si>
    <t>%/mēnesī</t>
  </si>
  <si>
    <t>Būvniecības periodi</t>
  </si>
  <si>
    <t>mēneši</t>
  </si>
  <si>
    <t>Potenciālais būvniecības periods</t>
  </si>
  <si>
    <t>Aktuālais*</t>
  </si>
  <si>
    <t>Prognoze**</t>
  </si>
  <si>
    <t>** Prognoze = periods/i, kas ietver ar Projektu saistītās attīstītāja naudas plūsmas, kas ir plānotas Projekta gaitā. Šīs vērtības balstās uz prognozēm, izejot no finanšu modelī norādītajām ievadvērtībām.</t>
  </si>
  <si>
    <t>Pārkompensācijas tests, # (ik pēc trīs gadiem kopš kompensācijas saņemšanas)</t>
  </si>
  <si>
    <t>Attīstītāja iekšējā Naudas plūsma pēc nodokļiem (perioda gaitā), #1</t>
  </si>
  <si>
    <t>Attīstītāja iekšējā Naudas plūsma pēc nodokļiem (perioda gaitā), #2</t>
  </si>
  <si>
    <t>Attīstītāja iekšējā Naudas plūsma pēc nodokļiem (perioda gaitā), #3</t>
  </si>
  <si>
    <t>Attīstītāja iekšējā Naudas plūsma pēc nodokļiem (perioda gaitā), #4</t>
  </si>
  <si>
    <r>
      <t xml:space="preserve">* Aktuālais = periods/i, kas ietver ar Projektu saistītās attīstītāja naudas plūsmas, kas ir tikušas reģistrētas līdz ēkas nodošanai ekspluatācijā jeb pirms kompensācijas pieprasījuma brīža. </t>
    </r>
    <r>
      <rPr>
        <b/>
        <i/>
        <sz val="10"/>
        <color theme="1"/>
        <rFont val="Arial"/>
        <family val="2"/>
        <scheme val="minor"/>
      </rPr>
      <t>Šīs vērtības ir jāievada manuāli pēc fakta.</t>
    </r>
  </si>
  <si>
    <t>Izmaiņa pret iepriekšējā perioda naudas plūsmu</t>
  </si>
  <si>
    <t>#1</t>
  </si>
  <si>
    <t>#2</t>
  </si>
  <si>
    <t>#3</t>
  </si>
  <si>
    <t>Attīstītāja iekšējā Naudas plūsma pēc nodokļiem (perioda gaitā), #5</t>
  </si>
  <si>
    <t>Attīstītāja iekšējā Naudas plūsma pēc nodokļiem (perioda gaitā), #6</t>
  </si>
  <si>
    <t>Attīstītāja iekšējā Naudas plūsma pēc nodokļiem (perioda gaitā), #7</t>
  </si>
  <si>
    <t>Attīstītāja iekšējā Naudas plūsma pēc nodokļiem (perioda gaitā), #8</t>
  </si>
  <si>
    <t>Attīstītāja iekšējā Naudas plūsma pēc nodokļiem (perioda gaitā), #9</t>
  </si>
  <si>
    <t>Attīstītāja iekšējā Naudas plūsma pēc nodokļiem (perioda gaitā), #10</t>
  </si>
  <si>
    <t>Attīstītāja iekšējā Naudas plūsma pēc nodokļiem (perioda gaitā), #11</t>
  </si>
  <si>
    <t>Attīstītāja iekšējā Naudas plūsma pēc nodokļiem (perioda gaitā), #12</t>
  </si>
  <si>
    <t>Attīstītāja iekšējā Naudas plūsma pēc nodokļiem (perioda gaitā), #13</t>
  </si>
  <si>
    <t>Attīstītāja iekšējā Naudas plūsma pēc nodokļiem (perioda gaitā), #14</t>
  </si>
  <si>
    <t>Attīstītāja iekšējā Naudas plūsma pēc nodokļiem (perioda gaitā), #15</t>
  </si>
  <si>
    <t>Attīstītāja iekšējā Naudas plūsma pēc nodokļiem (perioda gaitā), #16</t>
  </si>
  <si>
    <t>Attīstītāja iekšējā Naudas plūsma pēc nodokļiem (perioda gaitā), #17</t>
  </si>
  <si>
    <t>#4</t>
  </si>
  <si>
    <t>#5</t>
  </si>
  <si>
    <t>#6</t>
  </si>
  <si>
    <t>#7</t>
  </si>
  <si>
    <t>#8</t>
  </si>
  <si>
    <t>#9</t>
  </si>
  <si>
    <t>#10</t>
  </si>
  <si>
    <t>#11</t>
  </si>
  <si>
    <t>#12</t>
  </si>
  <si>
    <t>#13</t>
  </si>
  <si>
    <t>#14</t>
  </si>
  <si>
    <t>#15</t>
  </si>
  <si>
    <t>#16</t>
  </si>
  <si>
    <t>#17</t>
  </si>
  <si>
    <t>Apjoms, ko attīstītājam jāatmaksā atpakaļ (pāri 10% slieksnim)</t>
  </si>
  <si>
    <t>Kreisajā malā nepieciešams uzspiest "+", lai redzētu visu periodu naudas plūsmas</t>
  </si>
  <si>
    <t>Būvniecības perioda ilgums</t>
  </si>
  <si>
    <t>Pārkompensācijas tests (kalibrēšana perioda gaitā)</t>
  </si>
  <si>
    <t>Vērtība norādīta vadoties pēc pievienotās vērtības nodokļa likuma. Ja pievienotās vērtības nodoklis mainās, aprēķinu modelī šis pieņēmums (21%) jāpārmaina.</t>
  </si>
  <si>
    <t>Vērtība norādīta vadoties pēc uzņēmumu ienākuma nodokļa likuma. Ja uzņēmumu ienākuma nodoklis mainās, aprēķinu modelī šis pieņēmums (20%) jāpārmaina.</t>
  </si>
  <si>
    <t>Vērtība "Īres maksa gadā" aprēķinās automātiski balstoties uz pieņēmumu "Īres maksa mēnesī".</t>
  </si>
  <si>
    <t>Pilnvarojuma līguma ilgums</t>
  </si>
  <si>
    <t>Būvniecības periodā tiek veikti ēkas būvniecības un nodošanas ekspluatācijā darbi. Pieņēmumu vērtība ir mainīgs lielums, kas jānosaka nekustamā īpašuma attīstītājam. Būvniecības periods nevar pārsniegt 96 mēnešus (8 gadus).</t>
  </si>
  <si>
    <t>Norādītais "Būvniecības perioda ilgums" mēnešos tiek automātiski izteikts gados. Šis pārveidojums ir nepieciešams turpmākiem modeļa aprēķiniem.</t>
  </si>
  <si>
    <t>Pieņēmuma vērtība "Pamatkapitāla ieguldījumu grafiks" tiek aprēķināta automātiski, paredzot pamatkapitāla ieguldījumus proporcionāli būvniecības perioda ilgumam.</t>
  </si>
  <si>
    <t>Procentu maksājuma likme</t>
  </si>
  <si>
    <t>Sabiedrības "Altum" aizdevums</t>
  </si>
  <si>
    <r>
      <t xml:space="preserve">Sabiedrības "Altum" aizdevuma proporcija </t>
    </r>
    <r>
      <rPr>
        <b/>
        <sz val="10"/>
        <color theme="1"/>
        <rFont val="Arial"/>
        <family val="2"/>
        <scheme val="minor"/>
      </rPr>
      <t>no attiecināmajām izmaksām</t>
    </r>
  </si>
  <si>
    <t>Sabiedrības "Altum" kredītbrīvdienas</t>
  </si>
  <si>
    <t>Kredītbrīvdienu ilgums</t>
  </si>
  <si>
    <t>MK noteikumos ir noteikts minimālāis nekustamā īpašuma attīstītāja paša kapitāla ieguldījums 5% apmērā no projekta attiecināmajām izmaksām. Maksimālais pašu kapitāla ieguldījums nav ierobežots. Ja pieņēmumu lauciņš iekrāsojas sarkans, vērtība nesakrīt ar MK noteikumu nosacījumiem.</t>
  </si>
  <si>
    <t>MK noteikumi nosaka maksimālo īres maksu mēnesī 5 euro/m2 apjomā. Īres maksājums neietver citus maksājumus, kas atsevišķi jāsedz īrniekam, piemēram, nekustamā īpašuma nodoklis, mājokļa apdrošināšanas maksājums, pārvaldnieka samaksa. Šis pieņēmums ir mainīgs lielums, kas jānosaka katra nekustamā īpašuma attīstības projektam. Ja pieņēmumu lauciņš iekrāsojas sarkans, vērtība nesakrīt ar MK noteikumu nosacījumiem.</t>
  </si>
  <si>
    <t>4. Izmaksas no pamatdarbības</t>
  </si>
  <si>
    <t>5. Ienākumu pieņēmumi</t>
  </si>
  <si>
    <t>6. Finansēšanas pieņēmumi</t>
  </si>
  <si>
    <t>7. Finansējuma struktūra</t>
  </si>
  <si>
    <t>Finanšu modeļa nolūkos izdarīts pieņēmums, kam ir jābūt statiskam un nemainīgam (12 mēneši).</t>
  </si>
  <si>
    <t>MK noteikumi nosaka Pilnvarojuma līguma ilgumu.</t>
  </si>
  <si>
    <t>Īres platību noslogojums ir izīrētās vai izmantotās platības/īres mājokļu skaita attiecība pret pieejamo kopējo īres mājokļu skaitu. Norādot "Īres platību noslogojums" pieņēmuma vērtību jāņem vērā MK noteikumos noteiktie kritēriji kapitāla atlaides saņemšanai: "ir izīrēti 100 % no dzīvokļu skaita, ja dzīvojamā mājā dzīvokļu skaits nepārsniedz deviņus dzīvokļus" un "ir izīrēti vismaz 90 % no dzīvokļu skaita, ja dzīvojamā mājā dzīvokļu skaits ir vismaz desmit dzīvokļi".</t>
  </si>
  <si>
    <t>Ja vērtības lauciņš iekrāsojas sarkans, nepieciešams pārskatīt finansējuma struktūras pieņēmumus.</t>
  </si>
  <si>
    <t>Procentu maksājums sabiedrībai "Altum"</t>
  </si>
  <si>
    <t>Nodevums</t>
  </si>
  <si>
    <t>Pārkompensācijas tests, # (ik pēc trīs gadiem kopš Pilnvarojuma līguma noslēgšanas)</t>
  </si>
  <si>
    <t>Pieņēmumu ievadvērtības</t>
  </si>
  <si>
    <t>NPV perioda gaitā jeb pārkompensācijas apmērs</t>
  </si>
  <si>
    <t>Kapitāla atlaides apmērs</t>
  </si>
  <si>
    <t>Datums, kurā dzīvojamā īres māja nodota ekspluatācijā</t>
  </si>
  <si>
    <t>MK noteikumos noteiktais datums, kurš maina kapitāla atlaides piešķiršanas apmēru</t>
  </si>
  <si>
    <t xml:space="preserve">Vērā ņemamas projekta vadības izmaksas, kas nekustamā īpašuma attīstītājam radušās līdz dzīvojamās īres mājas nodošanai ekspluatācijā. Šīs izmaksas nevar pārsniegt 5% apmēru no projekta kopējām attiecināmajām izmaksām. </t>
  </si>
  <si>
    <t>Projekta dokumentācijas (būvniecības ieceres, darba uzdevuma projektētāja, projektēšanas - sagatavošanas izmaksas)</t>
  </si>
  <si>
    <t>Zemes, kas nepieciešama projekta īstenošanai izmaksas</t>
  </si>
  <si>
    <t>Ar projekta īstenošanu saistītās infrastruktūras būvniecības un nepieciešamo inženiertehnisko tīklu pieslēgumu izbūves izmaksas</t>
  </si>
  <si>
    <t>Virszemes un pazemes komunikāciju infrastruktūras izbūves un/vai pārbūves izmaksas</t>
  </si>
  <si>
    <t>Dzīvojamās īres mājas teritorijas labiekārtošanas izmaksas</t>
  </si>
  <si>
    <t xml:space="preserve">Izmaksas, kas saistītas ar dzīvojamās īres mājas nodošanu ekspluatācijā </t>
  </si>
  <si>
    <t>Šī vērtība nav jāmaina, jo tā noteikta MK noteikumos.</t>
  </si>
  <si>
    <t>Lauciņā jānorāda datums, kurā dzīvojāmā īres māja tika nodota ekspluatācijā.</t>
  </si>
  <si>
    <t>Aizņemtā kapitāla cena tiek iegūta no aizņemtā kapitāla (aizdevumu) finansētāju piešķirto procentu likmēm, aprēķinot proporcionāli vidējo piešķirto procentu likmi.</t>
  </si>
  <si>
    <t>Pašu un aizņemtā kapitāla svara/proporciju vērtības tiek pieņemtas par konstantām. Vērtības iegūtas sekojot atlasītu Eiropas valstu nekustamo īpašumu attīstītāju un apsaimniekotāju vidējai finansējuma struktūrai.</t>
  </si>
  <si>
    <t>Vērtība iegūta izmantojot atlasītu Eiropas valstu nekustamo īpašumu attīstītāju un apsaimniekotāju vidējo piecu gadu pašu kapitāla atdevi (Return on equity).</t>
  </si>
  <si>
    <t>Projekta vadības izmaksas, kas nekustamā īpašuma attīstītājam radušās līdz dzīvojamās īres mājas nodošanai ekspluatācijā</t>
  </si>
  <si>
    <t>Būvekspertīzes (ja nepieciešams), autoruzraudzības un būvuzraudzības izmaksas</t>
  </si>
  <si>
    <t>Virtuves un sanitāro telpu funkcionālitātei nepieciešamo iekārtu un ierīču, iebūvējamo mēbeļu nodrošināšanas izmaksas</t>
  </si>
  <si>
    <t>Maksimālās projekta attiecināmās izmaksas (bez PVN) vidēji par vienu dzīvojamās īres mājas dzīvokli</t>
  </si>
  <si>
    <t>Dzīvojamās mājas vidējā dzīvokļu platība</t>
  </si>
  <si>
    <t>euro, bruto/viens dzīvojamās īres mājas dzīvoklis</t>
  </si>
  <si>
    <t>Nekustamā īpašuma attīstītājam jānorāda dzīvojamās ēkas kopējā platība, kura izmantota aprēķinot projekta attiecināmās un neattiecināmās izmaksas. Dzīvojamās mājas platība tiks izmantota aprēķinot kopējās projekta izmaksas. Norādot dzīvojamās mājas kopējo platību, nepieciešams ņemt vērā MK noteikumos noteikto dzīvojāmās mājas minimālo dzīvokļu skaitu un dzīvojamās mājas vidējo dzīvokļu platību.</t>
  </si>
  <si>
    <r>
      <t xml:space="preserve">Sabiedrības "Altum" aizdevuma proporcija </t>
    </r>
    <r>
      <rPr>
        <b/>
        <sz val="10"/>
        <color theme="1"/>
        <rFont val="Arial"/>
        <family val="2"/>
        <scheme val="minor"/>
      </rPr>
      <t>no neattiecināmajām izmaksām</t>
    </r>
  </si>
  <si>
    <t>Sabiedrības "Altum" aizdevums attiecināmo izmaksu finanšešanai</t>
  </si>
  <si>
    <r>
      <t xml:space="preserve">Sabiedrības "Altum" aizdevums attiecināmo izmaksu segšanai </t>
    </r>
    <r>
      <rPr>
        <b/>
        <sz val="10"/>
        <color theme="1"/>
        <rFont val="Arial"/>
        <family val="2"/>
        <scheme val="minor"/>
      </rPr>
      <t>no kopējā finansējuma</t>
    </r>
  </si>
  <si>
    <r>
      <t xml:space="preserve">Sabiedrības "Altum" aizdevums neattiecināmo izmaksu segšanai </t>
    </r>
    <r>
      <rPr>
        <b/>
        <sz val="10"/>
        <color theme="1"/>
        <rFont val="Arial"/>
        <family val="2"/>
        <scheme val="minor"/>
      </rPr>
      <t>no kopējā finansējuma</t>
    </r>
  </si>
  <si>
    <t>euro,bruto / kopējās platības (m2)</t>
  </si>
  <si>
    <r>
      <t xml:space="preserve">Ieguldījuma proporcija no </t>
    </r>
    <r>
      <rPr>
        <b/>
        <sz val="10"/>
        <color theme="1"/>
        <rFont val="Arial"/>
        <family val="2"/>
        <scheme val="minor"/>
      </rPr>
      <t>attiecināmajām izmaksām</t>
    </r>
  </si>
  <si>
    <r>
      <t xml:space="preserve">Ieguldījuma proporcija no </t>
    </r>
    <r>
      <rPr>
        <b/>
        <sz val="10"/>
        <color theme="1"/>
        <rFont val="Arial"/>
        <family val="2"/>
        <scheme val="minor"/>
      </rPr>
      <t>neattiecināmajām izmaksām</t>
    </r>
  </si>
  <si>
    <r>
      <t>Citas kredītiestādes aizdevuma proporcija</t>
    </r>
    <r>
      <rPr>
        <b/>
        <sz val="10"/>
        <color theme="1"/>
        <rFont val="Arial"/>
        <family val="2"/>
        <scheme val="minor"/>
      </rPr>
      <t xml:space="preserve"> no attiecināmajām izmaksām</t>
    </r>
  </si>
  <si>
    <t>Ilgtermiņa inflācija</t>
  </si>
  <si>
    <t>Dzīvojamās mājas kopējā platība</t>
  </si>
  <si>
    <t>Sabiedrības "Altum" procentu likme (aizdevums attiecināmo izmaksu finansēšanai)</t>
  </si>
  <si>
    <t>Sabiedrības "Altum" procentu likme (aizdevums neattiecināmo izmaksu finansēšanai)</t>
  </si>
  <si>
    <t>Sabiedrības "Altum" aizdevums neattiecināmo izmaksu finansēšanai</t>
  </si>
  <si>
    <t>Sabiedrības "Altum" aizdevums attiecināmo izmaksu finansēšanai</t>
  </si>
  <si>
    <t>Attiecināmās izmaksas (bez PVN) uz dzīvojamā īres mājas kopējo platību</t>
  </si>
  <si>
    <t>Piešķirtā kapitāla atlaide kā % no kopējā sabiedrības "Altum" aizdevuma, kas piešķirts attiecināmo izmaksu finansēšanai, %</t>
  </si>
  <si>
    <t>Neatteicnāmo izmaksu aizdevuma finansējums</t>
  </si>
  <si>
    <t>2. Pamata pieņēmumi</t>
  </si>
  <si>
    <t>Nekustamā īpašuma attīstītājam ir jānorāda aktuālā inflācijas ilgtermiņa prognoze, kura tiks pielietota naudas plūsmu sākotnējā prognožu aprēķinā.</t>
  </si>
  <si>
    <t>Nekustamā īpašuma attīstītājam jānorāda dzīvokļu skaits plānotajā zemas īres maksas dzīvojamajā mājā.</t>
  </si>
  <si>
    <t>Attiecināmās izmaksas - līdz 59 447 euro (bez PVN) vidēji uz vienu dzīvojamās mājas dzīvokli (finansē no Eiropas Savienības Atveseļošanas un noturības mehānisma).</t>
  </si>
  <si>
    <t>Neattiecināmās izmaksas (viss virs  59 447 euro (bez PVN) vidēji uz vienu dzīvojamās mājas dzīvokli)</t>
  </si>
  <si>
    <t>Nekustamā īpašuma attīstītājam jānorāda pieņēmumu vērtības priekš "Vadības izmaksas" un "Citas izmaksas no pamatdarbības". Šīs ir izmaksas, kas rodas attīstītājam projekta uzturēšanas periodā (pēc būvniecības perioda, kad attīstītājs izīrē lietderīgo dzīvojamā īres mājas platību) nodrošinot īres mājas pieejamību.</t>
  </si>
  <si>
    <t>MK noteikumi nosaka, ka pēc sabiedrības "Altum" aizdevuma saistību izpildes dzīvojamās īres mājas īpašnieks veic iemaksas mājokļu pieejamības fondā no īres maksas 50% apmērā. Šī vērtība (pieņēmums) ir noteikta MK noteikumos.</t>
  </si>
  <si>
    <t>Saprātīga peļņa tiek aprēķināta darba lapā "WACC".</t>
  </si>
  <si>
    <t>Ar attīstītāja pašu kapitala ieguldījumu iespējams finansēt arī projekta neaatiecināmās izmaksas. Šī finansējuma proporcija nav ierobežota un var būt intervālā no 0 līdz 100% no neattiecināmo izmaksu finansējuma.</t>
  </si>
  <si>
    <t>Pamatkapitāla ieguldījums uz ēkas kopējās platības kvadrātmetru, euro/m2</t>
  </si>
  <si>
    <t>PVN (neattiecināmo izmaksu)</t>
  </si>
  <si>
    <t>PVN (attiecināmo izmaksu)</t>
  </si>
  <si>
    <t>Maksimālās attiecināmās izmaksas (ko iespējams atbalstīt ar Atveseļošanas fonda finansējumu)</t>
  </si>
  <si>
    <t>Potenciālās kapitāla atlaides apmērs</t>
  </si>
  <si>
    <t>Kapitāla atlaides proporcija no kopējām projekta attiecināmajām izmaksām</t>
  </si>
  <si>
    <t>Pieņēmumu vērtība mainās katra projekta ietvaros atkarībā no aizņemtā kapitāla finansējuma proporcijām, ko piešķir sabeidrība "Altum" un cita kredītiestāde. Sabiedrība "Altum" var piešķirt aizdevumu finansējumu gan attiecināmo izmaksu, gan neattiecināmo izmaksu finansēšanai.</t>
  </si>
  <si>
    <t>Programmas ietvaros atbalsts kapitāla atlaides formā var tikt piešķirts sabiedrības "Altum" aizdevuma attiecināmo izmaksu finansēšanai daļējai pamatsummas dzēšanai. MK noteikumos paredz, ka kapitāla atlaide nevar pārsniegt 49% apjomu no kopējā projekta aizņemtā kapitāla finansējuma. Ja dzīvojamā īres māja tiek nodota ekspluatācijā līdz 2026. gada 31. augustam, kapitāla atlaides maksimālais apmērs ir 30% no projekta attiecināmajām izmaksām (neieskaitot PVN), taču, ja tā tiek nodota ekspluatācijā pēc šī datuma, kapitāla atlaides maksimālais apmērs ir 25% no projekta attiecināmajām izmaksām (neieskaitot PVN). Kapitāla atlaides pieņēmumu vērtību nav nepieciešams norādīt manuāli. Šis skaitlis tiek aprēķināts veicot kompensācijas testu modeļa darba lapā "Komp. un pārkomp. tests" brīdī, kad nekustamā īpašuma attīstītājs ir iesniedzis sabiedrībai "Altum" dokumentus par ēkas nodošanu ekspluatācijā. Izvērtējot kapitāla atlaides piešķiršanu tiek izvērtēti arī citi kritēriji (saprātīgas peļņas (WACC) un attīstītāja peļņas (IRR) attiecība, ēkas platību noslogojums un potenciāli līguma noteikumu pārkāpumi). Ja kapitāla atlaides procentuālais vai monetārais apmērs, pārkāpj kādu no MK noteiktajiem kapitāla atlaides piešķiršanas kvantificējamajiem nosacījumiem, šie pieņēmumu lauciņi iekrāsojas sarkani.</t>
  </si>
  <si>
    <t>Lauciņos ievietotas formulas (manuāli nemaināmas vērtības)</t>
  </si>
  <si>
    <t>Citas kredītiestādes aizdevuma pamatsummas maksājums</t>
  </si>
  <si>
    <t>Sabiedrības "Altum" aizdevumu pamatsummas maksājums</t>
  </si>
  <si>
    <t>Vērtība "Attiecināmās izmaksas" aprēķinās automātiski. Ja tiek pārsniegts MK noteikumos definētais attiecināmo izmaksu limits (59 447 euro (bez PVN) vidēji uz vienu dzīvojamās mājas dzīvokli), pieņēmumu lauciņā parādās uzraksts "ERROR" un ir nepieciešams pārskatīt attiecināmo izmaksu pieņēmumus attiecīgi noteiktajam limitam.</t>
  </si>
  <si>
    <t>Šajā sadaļā parādoties uzrakstam "ERROR" ir nepieciešams pārskatīt galvenos aprēķinu lielumus / pieņēmumus, kas noteikti MK noteikumos (lauciņš, kurā pārkāpts MK noteikumos noteiktais iekrāsojas sarkans), jo kāds no šiem noteiktajiem lielumiem ir pārkāpts.</t>
  </si>
  <si>
    <t>MK noteikumi nosaka attiecināmo izmaksu ierobežojumu. Noteikumu ietvaros definētās attiecināmās izmaksas nevar pārsniegt 59 447 euro bez pievienotās vērtības nodokļa vidēji par vienu dzīvojamās īres mājas dīvokli. Izmaksas, kas pārsniedz šo vērtības slieksni, tiek uzskatītas par neattiecināmajām izmaksām un jānorāda zemāk pie neattiecināmo izmaksu pieņēmumiem.</t>
  </si>
  <si>
    <t>Citas kredītiestādes kredītbrīvdienas</t>
  </si>
  <si>
    <t>MK noteikumos noteiktais (nemaināmas vērtības)</t>
  </si>
  <si>
    <t>Septembris, 2022</t>
  </si>
  <si>
    <t>MK noteikumi nosaka vidējo dzīvokļa izmēru 52.125 m2 apjomā. Vidējais dzīvokļa izmērs ir noteikts kā viena no izpildāmajām kvalitātes prasībām dzīvojamajai īres mājai, kas nozīmē, ka nekustamā īpašuma attīstītājam jānodrošina vidēji 52.125 m2 vai lielāki dzīvokļi.</t>
  </si>
  <si>
    <t xml:space="preserve">Attiecināmās izmkasas ir MK noteikumos definētās attiecināmās izmaksas, kuras var finansēt ar programmas ietvaros piešķirto atbalstu no Atveseļošanās fonda finansējuma un kuru vērtība nepārsniedz 59 447 euro vidēji par vienu dzīvojamās īres mājas dzīvokli (bez pievienotās vērtības nodokļa).  Attiecināmo izmaksu vērtības euro, bruto/m2 ir maināmas katra projekta ietvaros. Nekustamā īpašuma attīstītājam jānorāda bruto attiecināmās izmaksas uz dzīvojamās ēkas kopējās platības kvadrātmetru. </t>
  </si>
  <si>
    <t>Neattiecināmās izmaksas ir izmaksas, kas netiek finansētas no Atveseļošanās fonda finansējuma un nav iekļautas MK noteikumos attiecināmo izmaksu definīcijā vai pārsniedz no Atveseļošanās fonda finansēto attiecināmo izmaksu augšējo limitu, kā arī pievienotās vērības nodokļa izmaksas, kuras var tikt finansētas, ja nav atgūstamas vispārējā kārtībā, no MK noteikumos definētajiem resursiem. Neattiecināmo izmaksu vērtības euro, bruto/m2 maināmas katra projekta ietvaros. Nekustamā īpašuma attīstītājam jānorāda bruto neattiecināmās izmaksas uz dzīvojamās ēkas kopējās platības kvadrātmetru.</t>
  </si>
  <si>
    <t>Attīstības projekta finansēšanai attīstītājs var piesaistīt aizņemto kapitālu (aizdevuma finansējumu) no sabiedrības "Altum", citas kredītiestādes vai citas starptautiskas finanšu institūcijas. Par katru aizdevuma finansējumu ir jānorāda trīs pamata pieņēmumi: procentu maksājuma likme, aizdevuma atmaksas termiņš un aizdevumam piešķirto kredītbrīvdienu ilgums. Vērtības ir mainīgas katra projekta ietvaros atbilstoši iestāžu piešķirto aizdevumu parametriem/nosacījumiem. Gadījumā, ja projekta finansēšanai papildus sabiedrības "Altum" aizdevumam ir piesaistīts aizdevums no citas iestādes, sabiedrība "Altum" var izskatīt kredītbrīvdienu piešķiršanu tās aizdevumam. Ja sabiedrība "Altum" vai cita kredītiestāde piešķir kredītbrīvdienas, pieņēmumā "Kredītbrīvdienu ilgums" jānorāda šī perioda ilgums gados. Papildus modeļa darba lapā "Finansējums" nepieciešams norādīt "Sabiedrības "Altum" kredītbrīvdienas" un/vai "Citas kredītiestādes kredītbrīvdienas" apgalvojumus par patiesiem (angļu valodā "TRUE").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</si>
</sst>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quot;€&quot;#,##0;[Red]\-&quot;€&quot;#,##0"/>
    <numFmt numFmtId="165" formatCode="&quot;€&quot;#,##0.00;[Red]\-&quot;€&quot;#,##0.00"/>
    <numFmt numFmtId="166" formatCode="mmmm\ dd\,\ yyyy"/>
    <numFmt numFmtId="167" formatCode="_(* #,##0_);_(* \(#,##0\);_(* &quot;-&quot;_);@_)"/>
    <numFmt numFmtId="168" formatCode="0%_);\(0%\)"/>
    <numFmt numFmtId="169" formatCode="_(* #,##0.0_);_(* \(#,##0.0\);_(* &quot;-&quot;?_);_(@_)"/>
    <numFmt numFmtId="170" formatCode="0.0%_);\(0.0%\)"/>
    <numFmt numFmtId="171" formatCode="[$-409]mmm;@"/>
    <numFmt numFmtId="172" formatCode="0.0%"/>
    <numFmt numFmtId="173" formatCode="[$-809]mmm\ yyyy;@"/>
    <numFmt numFmtId="174" formatCode="_(* #,##0.00_);_(* \(#,##0.00\);_(* &quot;-&quot;_);@_)"/>
    <numFmt numFmtId="175" formatCode="_(* #,##0.0_);_(* \(#,##0.0\);_(* &quot;-&quot;_);@_)"/>
    <numFmt numFmtId="176" formatCode="#,##0.0"/>
    <numFmt numFmtId="177" formatCode="_-* #,##0.0_-;\-* #,##0.0_-;_-* &quot;-&quot;?_-;_-@_-"/>
    <numFmt numFmtId="178" formatCode="0.0"/>
    <numFmt numFmtId="179" formatCode="_-* #,##0_-;\-* #,##0_-;_-* &quot;-&quot;??_-;_-@_-"/>
    <numFmt numFmtId="180" formatCode="0.000%_);\(0.000%\)"/>
    <numFmt numFmtId="181" formatCode="0.000%"/>
  </numFmts>
  <fonts count="46" x14ac:knownFonts="1">
    <font>
      <sz val="11"/>
      <color theme="1"/>
      <name val="Arial"/>
      <family val="2"/>
      <scheme val="minor"/>
    </font>
    <font>
      <sz val="11"/>
      <color theme="1"/>
      <name val="Arial"/>
      <family val="2"/>
      <scheme val="minor"/>
    </font>
    <font>
      <b/>
      <sz val="11"/>
      <color theme="3"/>
      <name val="Arial"/>
      <family val="2"/>
      <scheme val="minor"/>
    </font>
    <font>
      <sz val="11"/>
      <color theme="0"/>
      <name val="Arial"/>
      <family val="2"/>
      <scheme val="minor"/>
    </font>
    <font>
      <sz val="11"/>
      <color theme="1"/>
      <name val="Arial"/>
      <family val="2"/>
      <charset val="186"/>
      <scheme val="minor"/>
    </font>
    <font>
      <sz val="10"/>
      <name val="Arial"/>
      <family val="2"/>
      <scheme val="minor"/>
    </font>
    <font>
      <sz val="22"/>
      <name val="Arial"/>
      <family val="2"/>
      <scheme val="minor"/>
    </font>
    <font>
      <b/>
      <sz val="22"/>
      <name val="Arial"/>
      <family val="2"/>
      <scheme val="minor"/>
    </font>
    <font>
      <sz val="26"/>
      <name val="Arial"/>
      <family val="2"/>
      <scheme val="minor"/>
    </font>
    <font>
      <sz val="16"/>
      <name val="Arial"/>
      <family val="2"/>
      <scheme val="minor"/>
    </font>
    <font>
      <sz val="14"/>
      <name val="Arial"/>
      <family val="2"/>
      <scheme val="minor"/>
    </font>
    <font>
      <sz val="12"/>
      <name val="Arial"/>
      <family val="2"/>
      <scheme val="minor"/>
    </font>
    <font>
      <sz val="11"/>
      <name val="Arial"/>
      <family val="2"/>
      <scheme val="minor"/>
    </font>
    <font>
      <i/>
      <sz val="12"/>
      <name val="Arial"/>
      <family val="2"/>
      <scheme val="minor"/>
    </font>
    <font>
      <sz val="9"/>
      <color theme="1"/>
      <name val="Arial"/>
      <family val="2"/>
      <scheme val="minor"/>
    </font>
    <font>
      <sz val="9"/>
      <name val="Arial"/>
      <family val="2"/>
      <charset val="186"/>
    </font>
    <font>
      <sz val="8"/>
      <name val="Arial"/>
      <family val="2"/>
      <charset val="186"/>
    </font>
    <font>
      <b/>
      <sz val="9"/>
      <color theme="1"/>
      <name val="Arial"/>
      <family val="2"/>
      <scheme val="minor"/>
    </font>
    <font>
      <b/>
      <sz val="9"/>
      <color theme="3"/>
      <name val="Arial"/>
      <family val="2"/>
      <scheme val="minor"/>
    </font>
    <font>
      <sz val="10"/>
      <name val="Arial"/>
      <family val="2"/>
    </font>
    <font>
      <b/>
      <sz val="8"/>
      <color indexed="24"/>
      <name val="Arial"/>
      <family val="2"/>
      <charset val="186"/>
    </font>
    <font>
      <sz val="10"/>
      <color theme="1"/>
      <name val="Arial"/>
      <family val="2"/>
      <scheme val="minor"/>
    </font>
    <font>
      <b/>
      <sz val="10"/>
      <color theme="1"/>
      <name val="Arial"/>
      <family val="2"/>
      <scheme val="minor"/>
    </font>
    <font>
      <sz val="10"/>
      <color theme="0"/>
      <name val="Arial"/>
      <family val="2"/>
      <scheme val="minor"/>
    </font>
    <font>
      <b/>
      <sz val="10"/>
      <color theme="3"/>
      <name val="Arial"/>
      <family val="2"/>
      <scheme val="minor"/>
    </font>
    <font>
      <b/>
      <sz val="10"/>
      <color rgb="FF000000"/>
      <name val="Arial"/>
      <family val="2"/>
      <scheme val="minor"/>
    </font>
    <font>
      <sz val="10"/>
      <color rgb="FF000000"/>
      <name val="Arial"/>
      <family val="2"/>
      <scheme val="minor"/>
    </font>
    <font>
      <b/>
      <sz val="10"/>
      <name val="Arial"/>
      <family val="2"/>
      <scheme val="minor"/>
    </font>
    <font>
      <i/>
      <sz val="10"/>
      <color theme="1"/>
      <name val="Arial"/>
      <family val="2"/>
      <scheme val="minor"/>
    </font>
    <font>
      <u/>
      <sz val="11"/>
      <color theme="1"/>
      <name val="Arial"/>
      <family val="2"/>
      <scheme val="minor"/>
    </font>
    <font>
      <b/>
      <sz val="10"/>
      <color theme="0"/>
      <name val="Arial"/>
      <family val="2"/>
      <scheme val="minor"/>
    </font>
    <font>
      <sz val="14"/>
      <color theme="1"/>
      <name val="Arial"/>
      <family val="2"/>
      <scheme val="minor"/>
    </font>
    <font>
      <b/>
      <i/>
      <sz val="24"/>
      <color theme="1"/>
      <name val="Arial"/>
      <family val="2"/>
      <scheme val="minor"/>
    </font>
    <font>
      <b/>
      <sz val="14"/>
      <color theme="1"/>
      <name val="Arial"/>
      <family val="2"/>
      <scheme val="minor"/>
    </font>
    <font>
      <sz val="26"/>
      <name val="Georgia"/>
      <family val="1"/>
      <charset val="204"/>
      <scheme val="major"/>
    </font>
    <font>
      <sz val="24"/>
      <color theme="1"/>
      <name val="Georgia"/>
      <family val="1"/>
      <charset val="204"/>
      <scheme val="major"/>
    </font>
    <font>
      <b/>
      <sz val="13"/>
      <color theme="1"/>
      <name val="Arial"/>
      <family val="2"/>
      <scheme val="minor"/>
    </font>
    <font>
      <sz val="13"/>
      <color theme="1"/>
      <name val="Arial"/>
      <family val="2"/>
      <scheme val="minor"/>
    </font>
    <font>
      <sz val="13"/>
      <color theme="0"/>
      <name val="Arial"/>
      <family val="2"/>
      <scheme val="minor"/>
    </font>
    <font>
      <b/>
      <sz val="18"/>
      <color theme="4"/>
      <name val="Arial"/>
      <family val="2"/>
      <charset val="204"/>
      <scheme val="minor"/>
    </font>
    <font>
      <b/>
      <sz val="10"/>
      <color theme="1"/>
      <name val="Arial"/>
      <family val="2"/>
      <charset val="204"/>
      <scheme val="minor"/>
    </font>
    <font>
      <sz val="10"/>
      <color theme="1"/>
      <name val="Arial"/>
      <family val="2"/>
      <charset val="204"/>
      <scheme val="minor"/>
    </font>
    <font>
      <b/>
      <i/>
      <sz val="10"/>
      <color theme="1"/>
      <name val="Arial"/>
      <family val="2"/>
      <scheme val="minor"/>
    </font>
    <font>
      <b/>
      <i/>
      <sz val="10"/>
      <color theme="6"/>
      <name val="Arial"/>
      <family val="2"/>
      <scheme val="minor"/>
    </font>
    <font>
      <sz val="10"/>
      <color theme="1"/>
      <name val="Georgia"/>
      <family val="1"/>
    </font>
    <font>
      <b/>
      <sz val="20"/>
      <color rgb="FFFF0000"/>
      <name val="Arial"/>
      <family val="2"/>
      <scheme val="minor"/>
    </font>
  </fonts>
  <fills count="15">
    <fill>
      <patternFill patternType="none"/>
    </fill>
    <fill>
      <patternFill patternType="gray125"/>
    </fill>
    <fill>
      <patternFill patternType="solid">
        <fgColor theme="5"/>
      </patternFill>
    </fill>
    <fill>
      <patternFill patternType="solid">
        <fgColor theme="0"/>
        <bgColor indexed="64"/>
      </patternFill>
    </fill>
    <fill>
      <patternFill patternType="solid">
        <fgColor theme="2"/>
        <bgColor indexed="64"/>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theme="2"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bgColor indexed="64"/>
      </patternFill>
    </fill>
    <fill>
      <patternFill patternType="solid">
        <fgColor theme="6"/>
        <bgColor indexed="64"/>
      </patternFill>
    </fill>
    <fill>
      <patternFill patternType="solid">
        <fgColor theme="3" tint="0.79998168889431442"/>
        <bgColor indexed="64"/>
      </patternFill>
    </fill>
  </fills>
  <borders count="34">
    <border>
      <left/>
      <right/>
      <top/>
      <bottom/>
      <diagonal/>
    </border>
    <border>
      <left style="thin">
        <color theme="0"/>
      </left>
      <right/>
      <top/>
      <bottom/>
      <diagonal/>
    </border>
    <border>
      <left/>
      <right style="thin">
        <color theme="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4"/>
      </top>
      <bottom/>
      <diagonal/>
    </border>
    <border>
      <left/>
      <right/>
      <top style="thin">
        <color theme="4"/>
      </top>
      <bottom style="medium">
        <color theme="4"/>
      </bottom>
      <diagonal/>
    </border>
    <border>
      <left/>
      <right/>
      <top/>
      <bottom style="medium">
        <color theme="4"/>
      </bottom>
      <diagonal/>
    </border>
    <border>
      <left/>
      <right/>
      <top/>
      <bottom style="thin">
        <color theme="6"/>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hair">
        <color theme="6"/>
      </left>
      <right/>
      <top style="hair">
        <color theme="6"/>
      </top>
      <bottom/>
      <diagonal/>
    </border>
    <border>
      <left/>
      <right style="hair">
        <color theme="6"/>
      </right>
      <top style="hair">
        <color theme="6"/>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
      <left style="thick">
        <color theme="9"/>
      </left>
      <right/>
      <top/>
      <bottom/>
      <diagonal/>
    </border>
    <border>
      <left/>
      <right/>
      <top style="thick">
        <color theme="9"/>
      </top>
      <bottom/>
      <diagonal/>
    </border>
    <border>
      <left style="thick">
        <color theme="9"/>
      </left>
      <right style="thick">
        <color theme="9"/>
      </right>
      <top/>
      <bottom style="thick">
        <color theme="9"/>
      </bottom>
      <diagonal/>
    </border>
    <border>
      <left/>
      <right style="thick">
        <color theme="9"/>
      </right>
      <top/>
      <bottom/>
      <diagonal/>
    </border>
    <border>
      <left style="thick">
        <color theme="9"/>
      </left>
      <right style="thick">
        <color theme="9"/>
      </right>
      <top style="thick">
        <color theme="9"/>
      </top>
      <bottom/>
      <diagonal/>
    </border>
    <border>
      <left style="thick">
        <color theme="9"/>
      </left>
      <right style="thick">
        <color theme="9"/>
      </right>
      <top/>
      <bottom/>
      <diagonal/>
    </border>
  </borders>
  <cellStyleXfs count="16">
    <xf numFmtId="0" fontId="0" fillId="0" borderId="0"/>
    <xf numFmtId="9" fontId="1" fillId="0" borderId="0" applyFont="0" applyFill="0" applyBorder="0" applyAlignment="0" applyProtection="0"/>
    <xf numFmtId="0" fontId="3" fillId="2" borderId="0" applyNumberFormat="0" applyBorder="0" applyAlignment="0" applyProtection="0"/>
    <xf numFmtId="0" fontId="4" fillId="0" borderId="0"/>
    <xf numFmtId="167" fontId="14" fillId="0" borderId="0"/>
    <xf numFmtId="168" fontId="14" fillId="0" borderId="0" applyFont="0" applyFill="0" applyBorder="0" applyAlignment="0" applyProtection="0"/>
    <xf numFmtId="167" fontId="15" fillId="0" borderId="0" applyAlignment="0" applyProtection="0"/>
    <xf numFmtId="168" fontId="16" fillId="0" borderId="0" applyFill="0" applyBorder="0" applyAlignment="0" applyProtection="0"/>
    <xf numFmtId="167" fontId="17" fillId="0" borderId="11" applyNumberFormat="0" applyFill="0" applyAlignment="0" applyProtection="0"/>
    <xf numFmtId="171" fontId="17" fillId="0" borderId="12" applyNumberFormat="0" applyFill="0" applyAlignment="0" applyProtection="0"/>
    <xf numFmtId="171" fontId="18" fillId="0" borderId="13" applyFill="0" applyProtection="0">
      <alignment horizontal="right" wrapText="1"/>
    </xf>
    <xf numFmtId="173" fontId="18" fillId="0" borderId="13" applyFill="0" applyProtection="0">
      <alignment horizontal="right" wrapText="1"/>
    </xf>
    <xf numFmtId="9" fontId="19" fillId="0" borderId="0" applyFont="0" applyFill="0" applyBorder="0" applyAlignment="0" applyProtection="0"/>
    <xf numFmtId="49" fontId="20" fillId="0" borderId="0" applyFont="0" applyFill="0" applyBorder="0" applyAlignment="0" applyProtection="0">
      <alignment horizontal="left"/>
    </xf>
    <xf numFmtId="0" fontId="2" fillId="0" borderId="0" applyAlignment="0" applyProtection="0"/>
    <xf numFmtId="9" fontId="14" fillId="0" borderId="0" applyFont="0" applyFill="0" applyBorder="0" applyAlignment="0" applyProtection="0"/>
  </cellStyleXfs>
  <cellXfs count="365">
    <xf numFmtId="0" fontId="0" fillId="0" borderId="0" xfId="0"/>
    <xf numFmtId="0" fontId="5" fillId="3" borderId="3" xfId="3" applyFont="1" applyFill="1" applyBorder="1"/>
    <xf numFmtId="0" fontId="5" fillId="3" borderId="4" xfId="3" applyFont="1" applyFill="1" applyBorder="1"/>
    <xf numFmtId="0" fontId="5" fillId="3" borderId="5" xfId="3" applyFont="1" applyFill="1" applyBorder="1"/>
    <xf numFmtId="0" fontId="5" fillId="3" borderId="0" xfId="3" applyFont="1" applyFill="1"/>
    <xf numFmtId="0" fontId="5" fillId="3" borderId="6" xfId="3" applyFont="1" applyFill="1" applyBorder="1"/>
    <xf numFmtId="0" fontId="5" fillId="3" borderId="7" xfId="3" applyFont="1" applyFill="1" applyBorder="1"/>
    <xf numFmtId="0" fontId="6" fillId="3" borderId="6" xfId="3" applyFont="1" applyFill="1" applyBorder="1"/>
    <xf numFmtId="0" fontId="6" fillId="3" borderId="0" xfId="3" applyFont="1" applyFill="1"/>
    <xf numFmtId="0" fontId="7" fillId="3" borderId="0" xfId="3" applyFont="1" applyFill="1" applyAlignment="1">
      <alignment wrapText="1"/>
    </xf>
    <xf numFmtId="0" fontId="6" fillId="3" borderId="7" xfId="3" applyFont="1" applyFill="1" applyBorder="1"/>
    <xf numFmtId="0" fontId="8" fillId="3" borderId="0" xfId="3" applyFont="1" applyFill="1"/>
    <xf numFmtId="0" fontId="5" fillId="3" borderId="0" xfId="3" applyFont="1" applyFill="1" applyAlignment="1">
      <alignment horizontal="left" wrapText="1"/>
    </xf>
    <xf numFmtId="0" fontId="9" fillId="3" borderId="6" xfId="3" applyFont="1" applyFill="1" applyBorder="1"/>
    <xf numFmtId="0" fontId="10" fillId="3" borderId="0" xfId="3" applyFont="1" applyFill="1"/>
    <xf numFmtId="0" fontId="9" fillId="3" borderId="0" xfId="3" applyFont="1" applyFill="1"/>
    <xf numFmtId="0" fontId="9" fillId="3" borderId="0" xfId="3" applyFont="1" applyFill="1" applyAlignment="1">
      <alignment horizontal="left" wrapText="1"/>
    </xf>
    <xf numFmtId="0" fontId="9" fillId="3" borderId="7" xfId="3" applyFont="1" applyFill="1" applyBorder="1"/>
    <xf numFmtId="0" fontId="11" fillId="3" borderId="6" xfId="3" applyFont="1" applyFill="1" applyBorder="1"/>
    <xf numFmtId="0" fontId="12" fillId="3" borderId="0" xfId="3" applyFont="1" applyFill="1"/>
    <xf numFmtId="0" fontId="11" fillId="3" borderId="0" xfId="3" applyFont="1" applyFill="1"/>
    <xf numFmtId="0" fontId="11" fillId="3" borderId="0" xfId="3" applyFont="1" applyFill="1" applyAlignment="1">
      <alignment horizontal="left" wrapText="1"/>
    </xf>
    <xf numFmtId="0" fontId="11" fillId="3" borderId="7" xfId="3" applyFont="1" applyFill="1" applyBorder="1"/>
    <xf numFmtId="0" fontId="11" fillId="3" borderId="0" xfId="3" applyFont="1" applyFill="1" applyAlignment="1">
      <alignment horizontal="right"/>
    </xf>
    <xf numFmtId="166" fontId="11" fillId="3" borderId="0" xfId="3" applyNumberFormat="1" applyFont="1" applyFill="1"/>
    <xf numFmtId="166" fontId="5" fillId="3" borderId="0" xfId="3" applyNumberFormat="1" applyFont="1" applyFill="1" applyAlignment="1">
      <alignment horizontal="right"/>
    </xf>
    <xf numFmtId="0" fontId="13" fillId="3" borderId="6" xfId="3" applyFont="1" applyFill="1" applyBorder="1"/>
    <xf numFmtId="0" fontId="13" fillId="3" borderId="0" xfId="3" applyFont="1" applyFill="1"/>
    <xf numFmtId="0" fontId="13" fillId="3" borderId="7" xfId="3" applyFont="1" applyFill="1" applyBorder="1"/>
    <xf numFmtId="0" fontId="5" fillId="3" borderId="8" xfId="3" applyFont="1" applyFill="1" applyBorder="1"/>
    <xf numFmtId="0" fontId="5" fillId="3" borderId="9" xfId="3" applyFont="1" applyFill="1" applyBorder="1"/>
    <xf numFmtId="0" fontId="5" fillId="3" borderId="10" xfId="3" applyFont="1" applyFill="1" applyBorder="1"/>
    <xf numFmtId="0" fontId="21" fillId="0" borderId="0" xfId="0" applyFont="1"/>
    <xf numFmtId="0" fontId="22" fillId="4" borderId="0" xfId="0" applyFont="1" applyFill="1"/>
    <xf numFmtId="0" fontId="21" fillId="0" borderId="0" xfId="0" applyFont="1" applyBorder="1" applyAlignment="1"/>
    <xf numFmtId="0" fontId="21" fillId="0" borderId="0" xfId="0" applyFont="1" applyBorder="1"/>
    <xf numFmtId="0" fontId="21" fillId="0" borderId="2" xfId="0" applyFont="1" applyBorder="1"/>
    <xf numFmtId="0" fontId="21" fillId="0" borderId="0" xfId="0" applyFont="1" applyAlignment="1">
      <alignment horizontal="center"/>
    </xf>
    <xf numFmtId="0" fontId="21" fillId="0" borderId="0" xfId="0" applyFont="1" applyAlignment="1">
      <alignment wrapText="1"/>
    </xf>
    <xf numFmtId="0" fontId="22" fillId="5" borderId="0" xfId="0" applyFont="1" applyFill="1"/>
    <xf numFmtId="0" fontId="22" fillId="0" borderId="0" xfId="0" applyFont="1"/>
    <xf numFmtId="0" fontId="22" fillId="5" borderId="0" xfId="0" applyFont="1" applyFill="1" applyAlignment="1">
      <alignment horizontal="center"/>
    </xf>
    <xf numFmtId="175" fontId="22" fillId="4" borderId="0" xfId="0" applyNumberFormat="1" applyFont="1" applyFill="1"/>
    <xf numFmtId="175" fontId="21" fillId="0" borderId="0" xfId="0" applyNumberFormat="1" applyFont="1"/>
    <xf numFmtId="0" fontId="21" fillId="3" borderId="0" xfId="0" applyFont="1" applyFill="1"/>
    <xf numFmtId="0" fontId="21" fillId="0" borderId="0" xfId="0" applyFont="1" applyFill="1" applyBorder="1"/>
    <xf numFmtId="0" fontId="21" fillId="0" borderId="0" xfId="0" applyFont="1" applyFill="1"/>
    <xf numFmtId="0" fontId="22" fillId="0" borderId="0" xfId="0" applyFont="1" applyFill="1" applyAlignment="1">
      <alignment horizontal="center"/>
    </xf>
    <xf numFmtId="175" fontId="21" fillId="0" borderId="0" xfId="0" applyNumberFormat="1" applyFont="1" applyAlignment="1">
      <alignment horizontal="center"/>
    </xf>
    <xf numFmtId="175" fontId="22" fillId="4" borderId="0" xfId="0" applyNumberFormat="1" applyFont="1" applyFill="1" applyAlignment="1">
      <alignment horizontal="center"/>
    </xf>
    <xf numFmtId="0" fontId="21" fillId="0" borderId="0" xfId="0" applyFont="1" applyBorder="1" applyAlignment="1">
      <alignment wrapText="1"/>
    </xf>
    <xf numFmtId="0" fontId="21" fillId="3" borderId="0" xfId="0" applyFont="1" applyFill="1" applyAlignment="1">
      <alignment horizontal="center"/>
    </xf>
    <xf numFmtId="175" fontId="21" fillId="3" borderId="0" xfId="0" applyNumberFormat="1" applyFont="1" applyFill="1"/>
    <xf numFmtId="175" fontId="21" fillId="0" borderId="0" xfId="0" applyNumberFormat="1" applyFont="1" applyFill="1"/>
    <xf numFmtId="167" fontId="21" fillId="0" borderId="0" xfId="4" applyFont="1"/>
    <xf numFmtId="168" fontId="21" fillId="0" borderId="0" xfId="5" applyFont="1"/>
    <xf numFmtId="175" fontId="22" fillId="3" borderId="0" xfId="0" applyNumberFormat="1" applyFont="1" applyFill="1"/>
    <xf numFmtId="175" fontId="21" fillId="6" borderId="0" xfId="0" applyNumberFormat="1" applyFont="1" applyFill="1"/>
    <xf numFmtId="176" fontId="21" fillId="0" borderId="0" xfId="0" applyNumberFormat="1" applyFont="1"/>
    <xf numFmtId="167" fontId="21" fillId="0" borderId="0" xfId="4" applyFont="1" applyAlignment="1">
      <alignment vertical="center"/>
    </xf>
    <xf numFmtId="169" fontId="5" fillId="0" borderId="0" xfId="6" applyNumberFormat="1" applyFont="1" applyAlignment="1">
      <alignment horizontal="left" vertical="center"/>
    </xf>
    <xf numFmtId="169" fontId="26" fillId="0" borderId="0" xfId="4" applyNumberFormat="1" applyFont="1" applyAlignment="1">
      <alignment horizontal="left" vertical="center"/>
    </xf>
    <xf numFmtId="169" fontId="26" fillId="0" borderId="0" xfId="4" applyNumberFormat="1" applyFont="1" applyAlignment="1">
      <alignment vertical="center"/>
    </xf>
    <xf numFmtId="169" fontId="26" fillId="0" borderId="0" xfId="4" applyNumberFormat="1" applyFont="1" applyAlignment="1">
      <alignment horizontal="left"/>
    </xf>
    <xf numFmtId="0" fontId="22" fillId="3" borderId="0" xfId="0" applyFont="1" applyFill="1"/>
    <xf numFmtId="43" fontId="21" fillId="0" borderId="0" xfId="0" applyNumberFormat="1" applyFont="1"/>
    <xf numFmtId="9" fontId="21" fillId="0" borderId="0" xfId="1" applyFont="1" applyFill="1" applyBorder="1" applyAlignment="1"/>
    <xf numFmtId="178" fontId="21" fillId="0" borderId="0" xfId="0" applyNumberFormat="1" applyFont="1"/>
    <xf numFmtId="9" fontId="28" fillId="0" borderId="0" xfId="1" applyFont="1"/>
    <xf numFmtId="9" fontId="21" fillId="0" borderId="0" xfId="1" applyFont="1" applyAlignment="1">
      <alignment horizontal="center"/>
    </xf>
    <xf numFmtId="9" fontId="21" fillId="0" borderId="0" xfId="1" applyFont="1"/>
    <xf numFmtId="175" fontId="22" fillId="3" borderId="0" xfId="0" applyNumberFormat="1" applyFont="1" applyFill="1" applyAlignment="1">
      <alignment horizontal="center"/>
    </xf>
    <xf numFmtId="172" fontId="21" fillId="0" borderId="0" xfId="1" applyNumberFormat="1" applyFont="1"/>
    <xf numFmtId="175" fontId="28" fillId="0" borderId="0" xfId="0" applyNumberFormat="1" applyFont="1"/>
    <xf numFmtId="0" fontId="21" fillId="7" borderId="0" xfId="0" applyFont="1" applyFill="1"/>
    <xf numFmtId="167" fontId="21" fillId="0" borderId="0" xfId="0" applyNumberFormat="1" applyFont="1"/>
    <xf numFmtId="9" fontId="21" fillId="0" borderId="0" xfId="0" applyNumberFormat="1" applyFont="1"/>
    <xf numFmtId="177" fontId="21" fillId="0" borderId="0" xfId="0" applyNumberFormat="1" applyFont="1"/>
    <xf numFmtId="175" fontId="22" fillId="0" borderId="0" xfId="0" applyNumberFormat="1" applyFont="1"/>
    <xf numFmtId="0" fontId="21" fillId="0" borderId="0" xfId="0" applyFont="1" applyFill="1" applyAlignment="1"/>
    <xf numFmtId="0" fontId="23" fillId="0" borderId="0" xfId="2" applyFont="1" applyFill="1"/>
    <xf numFmtId="0" fontId="21" fillId="3" borderId="0" xfId="0" applyFont="1" applyFill="1" applyAlignment="1">
      <alignment horizontal="left"/>
    </xf>
    <xf numFmtId="0" fontId="21" fillId="4" borderId="0" xfId="0" applyFont="1" applyFill="1"/>
    <xf numFmtId="0" fontId="32" fillId="4" borderId="0" xfId="0" applyFont="1" applyFill="1" applyAlignment="1">
      <alignment vertical="center"/>
    </xf>
    <xf numFmtId="0" fontId="22" fillId="3" borderId="0" xfId="0" applyFont="1" applyFill="1" applyAlignment="1">
      <alignment horizontal="left"/>
    </xf>
    <xf numFmtId="0" fontId="32" fillId="3" borderId="0" xfId="0" applyFont="1" applyFill="1" applyAlignment="1">
      <alignment vertical="center" wrapText="1"/>
    </xf>
    <xf numFmtId="0" fontId="21" fillId="3" borderId="0" xfId="0" applyFont="1" applyFill="1" applyProtection="1">
      <protection hidden="1"/>
    </xf>
    <xf numFmtId="0" fontId="21" fillId="3" borderId="0" xfId="0" applyFont="1" applyFill="1" applyAlignment="1" applyProtection="1">
      <alignment horizontal="left"/>
      <protection hidden="1"/>
    </xf>
    <xf numFmtId="3" fontId="33" fillId="4" borderId="0" xfId="0" applyNumberFormat="1" applyFont="1" applyFill="1" applyAlignment="1" applyProtection="1">
      <alignment vertical="center"/>
      <protection hidden="1"/>
    </xf>
    <xf numFmtId="0" fontId="22" fillId="3" borderId="0" xfId="0" applyFont="1" applyFill="1" applyProtection="1">
      <protection hidden="1"/>
    </xf>
    <xf numFmtId="3" fontId="31" fillId="4" borderId="0" xfId="0" applyNumberFormat="1" applyFont="1" applyFill="1" applyAlignment="1" applyProtection="1">
      <alignment vertical="center"/>
      <protection hidden="1"/>
    </xf>
    <xf numFmtId="175" fontId="23" fillId="3" borderId="0" xfId="0" applyNumberFormat="1" applyFont="1" applyFill="1" applyProtection="1">
      <protection hidden="1"/>
    </xf>
    <xf numFmtId="0" fontId="21" fillId="3" borderId="0" xfId="0" applyFont="1" applyFill="1" applyAlignment="1" applyProtection="1">
      <alignment horizontal="center"/>
      <protection hidden="1"/>
    </xf>
    <xf numFmtId="175" fontId="21" fillId="3" borderId="0" xfId="0" applyNumberFormat="1" applyFont="1" applyFill="1" applyProtection="1">
      <protection hidden="1"/>
    </xf>
    <xf numFmtId="0" fontId="23" fillId="4" borderId="0" xfId="0" applyFont="1" applyFill="1" applyProtection="1">
      <protection hidden="1"/>
    </xf>
    <xf numFmtId="0" fontId="21" fillId="4" borderId="0" xfId="0" applyFont="1" applyFill="1" applyProtection="1">
      <protection hidden="1"/>
    </xf>
    <xf numFmtId="175" fontId="23" fillId="4" borderId="0" xfId="0" applyNumberFormat="1" applyFont="1" applyFill="1" applyProtection="1">
      <protection hidden="1"/>
    </xf>
    <xf numFmtId="9" fontId="23" fillId="4" borderId="0" xfId="1" applyFont="1" applyFill="1" applyProtection="1">
      <protection hidden="1"/>
    </xf>
    <xf numFmtId="0" fontId="32" fillId="3" borderId="0" xfId="0" applyFont="1" applyFill="1" applyAlignment="1" applyProtection="1">
      <alignment horizontal="center" vertical="center"/>
      <protection hidden="1"/>
    </xf>
    <xf numFmtId="0" fontId="32" fillId="3" borderId="0" xfId="0" applyFont="1" applyFill="1" applyAlignment="1" applyProtection="1">
      <alignment vertical="center" wrapText="1"/>
      <protection hidden="1"/>
    </xf>
    <xf numFmtId="0" fontId="23" fillId="3" borderId="0" xfId="0" applyFont="1" applyFill="1" applyProtection="1">
      <protection hidden="1"/>
    </xf>
    <xf numFmtId="9" fontId="23" fillId="3" borderId="0" xfId="0" applyNumberFormat="1" applyFont="1" applyFill="1" applyProtection="1">
      <protection hidden="1"/>
    </xf>
    <xf numFmtId="0" fontId="21" fillId="3" borderId="0" xfId="0" applyFont="1" applyFill="1" applyAlignment="1" applyProtection="1">
      <protection hidden="1"/>
    </xf>
    <xf numFmtId="9" fontId="23" fillId="3" borderId="0" xfId="1" applyFont="1" applyFill="1" applyProtection="1">
      <protection hidden="1"/>
    </xf>
    <xf numFmtId="0" fontId="34" fillId="3" borderId="0" xfId="3" applyFont="1" applyFill="1"/>
    <xf numFmtId="3" fontId="36" fillId="4" borderId="0" xfId="0" applyNumberFormat="1" applyFont="1" applyFill="1" applyAlignment="1" applyProtection="1">
      <alignment vertical="center"/>
      <protection hidden="1"/>
    </xf>
    <xf numFmtId="3" fontId="37" fillId="4" borderId="0" xfId="0" applyNumberFormat="1" applyFont="1" applyFill="1" applyAlignment="1" applyProtection="1">
      <alignment vertical="center"/>
      <protection hidden="1"/>
    </xf>
    <xf numFmtId="0" fontId="37" fillId="3" borderId="0" xfId="0" applyFont="1" applyFill="1" applyProtection="1">
      <protection hidden="1"/>
    </xf>
    <xf numFmtId="175" fontId="38" fillId="3" borderId="0" xfId="0" applyNumberFormat="1" applyFont="1" applyFill="1" applyProtection="1">
      <protection hidden="1"/>
    </xf>
    <xf numFmtId="167" fontId="38" fillId="3" borderId="0" xfId="0" applyNumberFormat="1" applyFont="1" applyFill="1" applyProtection="1">
      <protection hidden="1"/>
    </xf>
    <xf numFmtId="0" fontId="21" fillId="0" borderId="0" xfId="0" applyFont="1" applyFill="1" applyProtection="1">
      <protection hidden="1"/>
    </xf>
    <xf numFmtId="175" fontId="21" fillId="0" borderId="0" xfId="0" applyNumberFormat="1" applyFont="1" applyFill="1" applyAlignment="1" applyProtection="1">
      <alignment wrapText="1"/>
      <protection hidden="1"/>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Fill="1" applyAlignment="1">
      <alignment horizontal="center" vertical="center"/>
    </xf>
    <xf numFmtId="0" fontId="21"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Fill="1" applyBorder="1" applyAlignment="1">
      <alignment horizontal="center" vertical="center"/>
    </xf>
    <xf numFmtId="0" fontId="21" fillId="0" borderId="1" xfId="0" applyFont="1" applyBorder="1" applyAlignment="1">
      <alignment vertical="center"/>
    </xf>
    <xf numFmtId="0" fontId="22" fillId="0" borderId="0" xfId="0" applyFont="1" applyFill="1" applyAlignment="1">
      <alignment horizontal="center" vertical="center"/>
    </xf>
    <xf numFmtId="0" fontId="21" fillId="0" borderId="0" xfId="0" applyFont="1" applyAlignment="1">
      <alignment vertical="center"/>
    </xf>
    <xf numFmtId="0" fontId="22" fillId="5" borderId="0" xfId="0" applyFont="1" applyFill="1" applyAlignment="1">
      <alignment vertical="center"/>
    </xf>
    <xf numFmtId="0" fontId="22" fillId="4" borderId="0" xfId="0" applyFont="1" applyFill="1" applyAlignment="1">
      <alignment vertical="center"/>
    </xf>
    <xf numFmtId="0" fontId="21" fillId="0" borderId="0" xfId="0" applyFont="1" applyAlignment="1">
      <alignment horizontal="center" vertical="center"/>
    </xf>
    <xf numFmtId="9" fontId="21" fillId="3" borderId="0" xfId="0" applyNumberFormat="1" applyFont="1" applyFill="1" applyBorder="1" applyAlignment="1">
      <alignment vertical="center"/>
    </xf>
    <xf numFmtId="9" fontId="21" fillId="0" borderId="0" xfId="0" applyNumberFormat="1" applyFont="1" applyBorder="1" applyAlignment="1">
      <alignment horizontal="center" vertical="center"/>
    </xf>
    <xf numFmtId="175" fontId="21" fillId="0" borderId="0" xfId="0" applyNumberFormat="1" applyFont="1" applyAlignment="1">
      <alignment vertical="center"/>
    </xf>
    <xf numFmtId="176" fontId="21" fillId="0" borderId="0" xfId="0" applyNumberFormat="1" applyFont="1" applyAlignment="1">
      <alignment horizontal="center" vertical="center"/>
    </xf>
    <xf numFmtId="0" fontId="21" fillId="0" borderId="0" xfId="0" applyFont="1" applyAlignment="1">
      <alignment vertical="center" wrapText="1"/>
    </xf>
    <xf numFmtId="0" fontId="21" fillId="0" borderId="0" xfId="0" applyFont="1" applyBorder="1" applyAlignment="1">
      <alignment horizontal="center" vertical="center" wrapText="1"/>
    </xf>
    <xf numFmtId="0" fontId="21" fillId="0" borderId="0" xfId="0" applyFont="1" applyBorder="1" applyAlignment="1">
      <alignment vertical="center" wrapText="1"/>
    </xf>
    <xf numFmtId="0" fontId="21" fillId="0" borderId="0" xfId="0" applyFont="1" applyFill="1" applyAlignment="1">
      <alignment vertical="center" wrapText="1"/>
    </xf>
    <xf numFmtId="9" fontId="21" fillId="11" borderId="0" xfId="0" applyNumberFormat="1" applyFont="1" applyFill="1" applyBorder="1" applyAlignment="1">
      <alignment horizontal="center" vertical="center"/>
    </xf>
    <xf numFmtId="3" fontId="21" fillId="8" borderId="0" xfId="0" applyNumberFormat="1" applyFont="1" applyFill="1" applyBorder="1" applyAlignment="1">
      <alignment horizontal="center" vertical="center"/>
    </xf>
    <xf numFmtId="0" fontId="21" fillId="11" borderId="0" xfId="0" applyNumberFormat="1" applyFont="1" applyFill="1" applyBorder="1" applyAlignment="1">
      <alignment horizontal="center" vertical="center"/>
    </xf>
    <xf numFmtId="9" fontId="21" fillId="8" borderId="0" xfId="0" applyNumberFormat="1" applyFont="1" applyFill="1" applyBorder="1" applyAlignment="1">
      <alignment horizontal="center" vertical="center"/>
    </xf>
    <xf numFmtId="0" fontId="21" fillId="8" borderId="14" xfId="0" applyFont="1" applyFill="1" applyBorder="1" applyAlignment="1">
      <alignment vertical="center"/>
    </xf>
    <xf numFmtId="0" fontId="25" fillId="8" borderId="14" xfId="0" applyFont="1" applyFill="1" applyBorder="1" applyAlignment="1">
      <alignment vertical="center" wrapText="1"/>
    </xf>
    <xf numFmtId="0" fontId="21" fillId="8" borderId="14" xfId="0" applyFont="1" applyFill="1" applyBorder="1" applyAlignment="1">
      <alignment horizontal="center" vertical="center"/>
    </xf>
    <xf numFmtId="0" fontId="26" fillId="8" borderId="14" xfId="0" applyFont="1" applyFill="1" applyBorder="1" applyAlignment="1">
      <alignment vertical="center"/>
    </xf>
    <xf numFmtId="0" fontId="22" fillId="5" borderId="0" xfId="0" applyFont="1" applyFill="1" applyBorder="1" applyAlignment="1">
      <alignment vertical="center"/>
    </xf>
    <xf numFmtId="172" fontId="21" fillId="11" borderId="0" xfId="1" applyNumberFormat="1" applyFont="1" applyFill="1" applyBorder="1" applyAlignment="1">
      <alignment horizontal="center" vertical="center"/>
    </xf>
    <xf numFmtId="9" fontId="21" fillId="11" borderId="0" xfId="1" applyNumberFormat="1" applyFont="1" applyFill="1" applyBorder="1" applyAlignment="1">
      <alignment horizontal="center" vertical="center"/>
    </xf>
    <xf numFmtId="9" fontId="21" fillId="11" borderId="0" xfId="1" applyFont="1" applyFill="1" applyBorder="1" applyAlignment="1">
      <alignment horizontal="center" vertical="center"/>
    </xf>
    <xf numFmtId="172" fontId="21" fillId="8" borderId="0" xfId="1" applyNumberFormat="1" applyFont="1" applyFill="1" applyBorder="1" applyAlignment="1">
      <alignment horizontal="center" vertical="center"/>
    </xf>
    <xf numFmtId="0" fontId="21" fillId="0" borderId="0" xfId="0"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0" xfId="0" applyFont="1" applyFill="1" applyAlignment="1">
      <alignment vertical="center"/>
    </xf>
    <xf numFmtId="177" fontId="21" fillId="0" borderId="0" xfId="0" applyNumberFormat="1" applyFont="1" applyAlignment="1">
      <alignment wrapText="1"/>
    </xf>
    <xf numFmtId="167" fontId="21" fillId="0" borderId="0" xfId="0" applyNumberFormat="1" applyFont="1" applyAlignment="1">
      <alignment horizontal="right" wrapText="1"/>
    </xf>
    <xf numFmtId="0" fontId="22" fillId="0" borderId="0" xfId="0" applyFont="1" applyAlignment="1">
      <alignment vertical="center"/>
    </xf>
    <xf numFmtId="167" fontId="22" fillId="4" borderId="0" xfId="0" applyNumberFormat="1" applyFont="1" applyFill="1" applyAlignment="1">
      <alignment horizontal="right" vertical="center" wrapText="1"/>
    </xf>
    <xf numFmtId="167" fontId="21" fillId="0" borderId="0" xfId="0" applyNumberFormat="1" applyFont="1" applyAlignment="1">
      <alignment horizontal="right" vertical="center" wrapText="1"/>
    </xf>
    <xf numFmtId="175" fontId="22" fillId="4" borderId="0" xfId="0" applyNumberFormat="1" applyFont="1" applyFill="1" applyAlignment="1">
      <alignment vertical="center"/>
    </xf>
    <xf numFmtId="175" fontId="22" fillId="10" borderId="0" xfId="0" applyNumberFormat="1" applyFont="1" applyFill="1" applyBorder="1" applyAlignment="1">
      <alignment vertical="center"/>
    </xf>
    <xf numFmtId="167" fontId="22" fillId="10" borderId="0" xfId="0" applyNumberFormat="1" applyFont="1" applyFill="1" applyBorder="1" applyAlignment="1">
      <alignment horizontal="right" vertical="center" wrapText="1"/>
    </xf>
    <xf numFmtId="175" fontId="21" fillId="0" borderId="0" xfId="0" applyNumberFormat="1" applyFont="1" applyAlignment="1">
      <alignment vertical="center" wrapText="1"/>
    </xf>
    <xf numFmtId="175" fontId="22" fillId="0" borderId="0" xfId="0" applyNumberFormat="1" applyFont="1" applyAlignment="1">
      <alignment vertical="center"/>
    </xf>
    <xf numFmtId="167" fontId="22" fillId="0" borderId="0" xfId="0" applyNumberFormat="1" applyFont="1" applyAlignment="1">
      <alignment horizontal="right" vertical="center" wrapText="1"/>
    </xf>
    <xf numFmtId="0" fontId="0" fillId="11" borderId="15" xfId="0" applyFont="1" applyFill="1" applyBorder="1" applyAlignment="1">
      <alignment horizontal="left" vertical="center"/>
    </xf>
    <xf numFmtId="172" fontId="0" fillId="11" borderId="16" xfId="0" applyNumberFormat="1" applyFont="1" applyFill="1" applyBorder="1" applyAlignment="1">
      <alignment horizontal="center" vertical="center" wrapText="1"/>
    </xf>
    <xf numFmtId="9" fontId="0" fillId="11" borderId="17" xfId="0" applyNumberFormat="1" applyFont="1" applyFill="1" applyBorder="1" applyAlignment="1">
      <alignment horizontal="left" vertical="center"/>
    </xf>
    <xf numFmtId="172" fontId="0" fillId="11" borderId="18" xfId="0" applyNumberFormat="1" applyFont="1" applyFill="1" applyBorder="1" applyAlignment="1">
      <alignment horizontal="center" vertical="center" wrapText="1"/>
    </xf>
    <xf numFmtId="0" fontId="29" fillId="11" borderId="17" xfId="0" applyFont="1" applyFill="1" applyBorder="1" applyAlignment="1">
      <alignment horizontal="left" vertical="center"/>
    </xf>
    <xf numFmtId="9" fontId="29" fillId="11" borderId="18" xfId="0" applyNumberFormat="1" applyFont="1" applyFill="1" applyBorder="1" applyAlignment="1">
      <alignment horizontal="center" vertical="center" wrapText="1"/>
    </xf>
    <xf numFmtId="165" fontId="0" fillId="11" borderId="17" xfId="0" applyNumberFormat="1" applyFont="1" applyFill="1" applyBorder="1" applyAlignment="1">
      <alignment horizontal="left" vertical="center"/>
    </xf>
    <xf numFmtId="164" fontId="0" fillId="11" borderId="18" xfId="0" applyNumberFormat="1" applyFont="1" applyFill="1" applyBorder="1" applyAlignment="1">
      <alignment horizontal="center" vertical="center" wrapText="1"/>
    </xf>
    <xf numFmtId="0" fontId="0" fillId="11" borderId="19" xfId="0" applyFont="1" applyFill="1" applyBorder="1" applyAlignment="1">
      <alignment horizontal="left" vertical="center"/>
    </xf>
    <xf numFmtId="0" fontId="0" fillId="11" borderId="20" xfId="0" applyFont="1" applyFill="1" applyBorder="1" applyAlignment="1">
      <alignment horizontal="center" vertical="center" wrapText="1"/>
    </xf>
    <xf numFmtId="0" fontId="22" fillId="5" borderId="0" xfId="0" applyFont="1" applyFill="1" applyAlignment="1">
      <alignment horizontal="center" vertical="center"/>
    </xf>
    <xf numFmtId="167" fontId="22" fillId="0" borderId="0" xfId="0" applyNumberFormat="1" applyFont="1" applyAlignment="1">
      <alignment vertical="center"/>
    </xf>
    <xf numFmtId="0" fontId="30" fillId="12" borderId="0" xfId="0" applyFont="1" applyFill="1" applyAlignment="1">
      <alignment horizontal="center" vertical="center"/>
    </xf>
    <xf numFmtId="0" fontId="22" fillId="5" borderId="0" xfId="0" applyFont="1" applyFill="1" applyAlignment="1">
      <alignment vertical="center" wrapText="1"/>
    </xf>
    <xf numFmtId="0" fontId="22" fillId="0" borderId="0" xfId="0" applyFont="1" applyAlignment="1">
      <alignment horizontal="center" vertical="center"/>
    </xf>
    <xf numFmtId="0" fontId="21" fillId="0" borderId="0" xfId="0" applyNumberFormat="1" applyFont="1" applyBorder="1" applyAlignment="1">
      <alignment horizontal="center" vertical="center"/>
    </xf>
    <xf numFmtId="172" fontId="21" fillId="0" borderId="0" xfId="0" applyNumberFormat="1" applyFont="1" applyBorder="1" applyAlignment="1">
      <alignment horizontal="center" vertical="center"/>
    </xf>
    <xf numFmtId="175" fontId="21" fillId="3" borderId="0" xfId="0" applyNumberFormat="1" applyFont="1" applyFill="1" applyAlignment="1">
      <alignment vertical="center" wrapText="1"/>
    </xf>
    <xf numFmtId="0" fontId="21" fillId="3" borderId="0" xfId="0" applyFont="1" applyFill="1" applyAlignment="1">
      <alignment vertical="center"/>
    </xf>
    <xf numFmtId="0" fontId="21" fillId="3" borderId="0" xfId="0" applyFont="1" applyFill="1" applyAlignment="1">
      <alignment vertical="center" wrapText="1"/>
    </xf>
    <xf numFmtId="0" fontId="21" fillId="3" borderId="0" xfId="0" applyFont="1" applyFill="1" applyAlignment="1">
      <alignment horizontal="center" vertical="center"/>
    </xf>
    <xf numFmtId="0" fontId="21" fillId="4" borderId="0" xfId="0" applyFont="1" applyFill="1" applyAlignment="1">
      <alignment vertical="center" wrapText="1"/>
    </xf>
    <xf numFmtId="0" fontId="21" fillId="4" borderId="0" xfId="0" applyFont="1" applyFill="1" applyAlignment="1">
      <alignment horizontal="center" vertical="center"/>
    </xf>
    <xf numFmtId="175" fontId="21" fillId="3" borderId="0" xfId="0" applyNumberFormat="1" applyFont="1" applyFill="1" applyAlignment="1">
      <alignment vertical="center"/>
    </xf>
    <xf numFmtId="176" fontId="21" fillId="0" borderId="0" xfId="0" applyNumberFormat="1" applyFont="1" applyAlignment="1">
      <alignment vertical="center"/>
    </xf>
    <xf numFmtId="176" fontId="21" fillId="0" borderId="0" xfId="0" applyNumberFormat="1" applyFont="1" applyAlignment="1">
      <alignment vertical="center" wrapText="1"/>
    </xf>
    <xf numFmtId="0" fontId="21" fillId="0" borderId="0" xfId="0" applyFont="1" applyAlignment="1">
      <alignment horizontal="right" vertical="center"/>
    </xf>
    <xf numFmtId="9" fontId="21" fillId="11" borderId="0" xfId="0" applyNumberFormat="1" applyFont="1" applyFill="1" applyBorder="1" applyAlignment="1">
      <alignment horizontal="right" vertical="center"/>
    </xf>
    <xf numFmtId="175" fontId="21" fillId="0" borderId="0" xfId="0" applyNumberFormat="1" applyFont="1" applyAlignment="1">
      <alignment horizontal="right" vertical="center"/>
    </xf>
    <xf numFmtId="0" fontId="21" fillId="3" borderId="0" xfId="0" applyFont="1" applyFill="1" applyAlignment="1">
      <alignment horizontal="right" vertical="center"/>
    </xf>
    <xf numFmtId="0" fontId="21" fillId="0" borderId="0" xfId="0" applyFont="1" applyFill="1" applyAlignment="1">
      <alignment horizontal="right" vertical="center"/>
    </xf>
    <xf numFmtId="175" fontId="21" fillId="3" borderId="0" xfId="0" applyNumberFormat="1" applyFont="1" applyFill="1" applyAlignment="1">
      <alignment horizontal="right" vertical="center"/>
    </xf>
    <xf numFmtId="176" fontId="21" fillId="0" borderId="0" xfId="0" applyNumberFormat="1" applyFont="1" applyAlignment="1">
      <alignment horizontal="right" vertical="center"/>
    </xf>
    <xf numFmtId="0" fontId="21" fillId="0" borderId="0" xfId="0" applyFont="1" applyAlignment="1">
      <alignment horizontal="right"/>
    </xf>
    <xf numFmtId="167" fontId="22" fillId="0" borderId="0" xfId="0" applyNumberFormat="1" applyFont="1" applyFill="1" applyBorder="1" applyAlignment="1">
      <alignment horizontal="right" vertical="center" wrapText="1"/>
    </xf>
    <xf numFmtId="176" fontId="21" fillId="0" borderId="0" xfId="0" applyNumberFormat="1" applyFont="1" applyFill="1"/>
    <xf numFmtId="9" fontId="21" fillId="0" borderId="0" xfId="0" applyNumberFormat="1" applyFont="1" applyBorder="1" applyAlignment="1">
      <alignment horizontal="right" vertical="center"/>
    </xf>
    <xf numFmtId="0" fontId="21" fillId="0" borderId="0" xfId="0" applyFont="1" applyBorder="1" applyAlignment="1">
      <alignment horizontal="right" vertical="center"/>
    </xf>
    <xf numFmtId="177" fontId="22" fillId="8" borderId="0" xfId="0" applyNumberFormat="1" applyFont="1" applyFill="1" applyBorder="1" applyAlignment="1">
      <alignment horizontal="right" vertical="center"/>
    </xf>
    <xf numFmtId="172" fontId="21" fillId="11" borderId="0" xfId="0" applyNumberFormat="1" applyFont="1" applyFill="1" applyBorder="1" applyAlignment="1">
      <alignment horizontal="right" vertical="center"/>
    </xf>
    <xf numFmtId="175" fontId="21" fillId="8" borderId="0" xfId="0" applyNumberFormat="1" applyFont="1" applyFill="1" applyBorder="1" applyAlignment="1">
      <alignment horizontal="right" vertical="center"/>
    </xf>
    <xf numFmtId="0" fontId="21" fillId="11" borderId="0" xfId="0" applyNumberFormat="1" applyFont="1" applyFill="1" applyBorder="1" applyAlignment="1">
      <alignment horizontal="right" vertical="center"/>
    </xf>
    <xf numFmtId="0" fontId="21" fillId="10" borderId="0" xfId="0" applyNumberFormat="1" applyFont="1" applyFill="1" applyBorder="1" applyAlignment="1">
      <alignment horizontal="right" vertical="center"/>
    </xf>
    <xf numFmtId="0" fontId="21" fillId="10" borderId="0" xfId="0" applyFont="1" applyFill="1" applyAlignment="1">
      <alignment horizontal="right" vertical="center"/>
    </xf>
    <xf numFmtId="0" fontId="21" fillId="8" borderId="0" xfId="0" applyFont="1" applyFill="1" applyBorder="1" applyAlignment="1">
      <alignment horizontal="right" vertical="center"/>
    </xf>
    <xf numFmtId="0" fontId="21" fillId="4" borderId="0" xfId="0" applyFont="1" applyFill="1" applyAlignment="1">
      <alignment horizontal="right" vertical="center"/>
    </xf>
    <xf numFmtId="176" fontId="21" fillId="8" borderId="0" xfId="0" applyNumberFormat="1" applyFont="1" applyFill="1" applyBorder="1" applyAlignment="1">
      <alignment horizontal="right" vertical="center"/>
    </xf>
    <xf numFmtId="172" fontId="21" fillId="11" borderId="0" xfId="1" applyNumberFormat="1" applyFont="1" applyFill="1" applyBorder="1" applyAlignment="1">
      <alignment horizontal="right" vertical="center"/>
    </xf>
    <xf numFmtId="0" fontId="21" fillId="11" borderId="13" xfId="0" applyFont="1" applyFill="1" applyBorder="1" applyAlignment="1">
      <alignment vertical="center"/>
    </xf>
    <xf numFmtId="0" fontId="22" fillId="11" borderId="13" xfId="0" applyFont="1" applyFill="1" applyBorder="1" applyAlignment="1">
      <alignment horizontal="center" vertical="center"/>
    </xf>
    <xf numFmtId="0" fontId="22" fillId="11" borderId="13" xfId="0" applyFont="1" applyFill="1" applyBorder="1" applyAlignment="1">
      <alignment horizontal="left" vertical="center"/>
    </xf>
    <xf numFmtId="9" fontId="21" fillId="0" borderId="0" xfId="1" applyFont="1" applyFill="1" applyAlignment="1">
      <alignment horizontal="center" vertical="center"/>
    </xf>
    <xf numFmtId="9" fontId="21" fillId="0" borderId="0" xfId="1" applyFont="1" applyFill="1" applyBorder="1" applyAlignment="1">
      <alignment horizontal="center" vertical="center"/>
    </xf>
    <xf numFmtId="175" fontId="22" fillId="3" borderId="0" xfId="0" applyNumberFormat="1" applyFont="1" applyFill="1" applyAlignment="1">
      <alignment vertical="center"/>
    </xf>
    <xf numFmtId="175" fontId="22" fillId="4" borderId="0" xfId="0" applyNumberFormat="1" applyFont="1" applyFill="1" applyAlignment="1">
      <alignment horizontal="right" vertical="center"/>
    </xf>
    <xf numFmtId="0" fontId="22" fillId="0" borderId="0" xfId="0" applyFont="1" applyAlignment="1">
      <alignment horizontal="right" vertical="center"/>
    </xf>
    <xf numFmtId="0" fontId="22" fillId="8" borderId="14" xfId="0" applyFont="1" applyFill="1" applyBorder="1" applyAlignment="1">
      <alignment vertical="center"/>
    </xf>
    <xf numFmtId="0" fontId="22" fillId="8" borderId="14" xfId="0" applyFont="1" applyFill="1" applyBorder="1" applyAlignment="1">
      <alignment horizontal="right" vertical="center"/>
    </xf>
    <xf numFmtId="175" fontId="41" fillId="3" borderId="0" xfId="0" applyNumberFormat="1" applyFont="1" applyFill="1" applyBorder="1" applyAlignment="1">
      <alignment horizontal="right" vertical="center"/>
    </xf>
    <xf numFmtId="9" fontId="21" fillId="0" borderId="0" xfId="0" applyNumberFormat="1" applyFont="1" applyAlignment="1">
      <alignment horizontal="right" vertical="center"/>
    </xf>
    <xf numFmtId="171" fontId="24" fillId="4" borderId="0" xfId="10" applyFont="1" applyFill="1" applyBorder="1" applyAlignment="1">
      <alignment horizontal="left" vertical="center" wrapText="1"/>
    </xf>
    <xf numFmtId="167" fontId="21" fillId="0" borderId="0" xfId="4" applyFont="1" applyAlignment="1">
      <alignment horizontal="right" vertical="center" wrapText="1"/>
    </xf>
    <xf numFmtId="169" fontId="5" fillId="0" borderId="0" xfId="6" applyNumberFormat="1" applyFont="1" applyAlignment="1">
      <alignment horizontal="right" vertical="center"/>
    </xf>
    <xf numFmtId="171" fontId="24" fillId="0" borderId="0" xfId="10" applyFont="1" applyBorder="1" applyAlignment="1">
      <alignment horizontal="right" vertical="center" wrapText="1"/>
    </xf>
    <xf numFmtId="169" fontId="5" fillId="0" borderId="0" xfId="6" applyNumberFormat="1" applyFont="1" applyAlignment="1">
      <alignment vertical="center"/>
    </xf>
    <xf numFmtId="172" fontId="5" fillId="0" borderId="0" xfId="12" applyNumberFormat="1" applyFont="1" applyAlignment="1">
      <alignment horizontal="right" vertical="center"/>
    </xf>
    <xf numFmtId="10" fontId="5" fillId="0" borderId="0" xfId="12" applyNumberFormat="1" applyFont="1" applyAlignment="1">
      <alignment horizontal="right" vertical="center"/>
    </xf>
    <xf numFmtId="167" fontId="21" fillId="0" borderId="0" xfId="4" applyFont="1" applyFill="1" applyAlignment="1">
      <alignment vertical="center"/>
    </xf>
    <xf numFmtId="170" fontId="5" fillId="0" borderId="0" xfId="7" applyNumberFormat="1" applyFont="1" applyAlignment="1">
      <alignment horizontal="right" vertical="center"/>
    </xf>
    <xf numFmtId="172" fontId="5" fillId="0" borderId="0" xfId="6" applyNumberFormat="1" applyFont="1" applyAlignment="1">
      <alignment vertical="center"/>
    </xf>
    <xf numFmtId="170" fontId="5" fillId="0" borderId="0" xfId="7" applyNumberFormat="1" applyFont="1" applyBorder="1" applyAlignment="1">
      <alignment horizontal="right" vertical="center"/>
    </xf>
    <xf numFmtId="170" fontId="22" fillId="0" borderId="0" xfId="8" applyNumberFormat="1" applyFont="1" applyBorder="1" applyAlignment="1">
      <alignment horizontal="right" vertical="center"/>
    </xf>
    <xf numFmtId="168" fontId="5" fillId="0" borderId="0" xfId="7" applyFont="1" applyAlignment="1">
      <alignment horizontal="right" vertical="center"/>
    </xf>
    <xf numFmtId="173" fontId="27" fillId="8" borderId="14" xfId="11" applyFont="1" applyFill="1" applyBorder="1" applyAlignment="1">
      <alignment horizontal="left" vertical="center" wrapText="1"/>
    </xf>
    <xf numFmtId="173" fontId="27" fillId="8" borderId="14" xfId="11" applyFont="1" applyFill="1" applyBorder="1" applyAlignment="1">
      <alignment horizontal="right" vertical="center" wrapText="1"/>
    </xf>
    <xf numFmtId="169" fontId="5" fillId="0" borderId="0" xfId="6" applyNumberFormat="1" applyFont="1" applyBorder="1" applyAlignment="1">
      <alignment horizontal="left" vertical="center"/>
    </xf>
    <xf numFmtId="169" fontId="22" fillId="10" borderId="0" xfId="8" applyNumberFormat="1" applyFont="1" applyFill="1" applyBorder="1" applyAlignment="1">
      <alignment horizontal="left" vertical="center"/>
    </xf>
    <xf numFmtId="172" fontId="22" fillId="10" borderId="0" xfId="8" applyNumberFormat="1" applyFont="1" applyFill="1" applyBorder="1" applyAlignment="1">
      <alignment vertical="center"/>
    </xf>
    <xf numFmtId="169" fontId="22" fillId="10" borderId="0" xfId="9" applyNumberFormat="1" applyFont="1" applyFill="1" applyBorder="1" applyAlignment="1">
      <alignment horizontal="left" vertical="center"/>
    </xf>
    <xf numFmtId="170" fontId="22" fillId="10" borderId="0" xfId="5" applyNumberFormat="1" applyFont="1" applyFill="1" applyBorder="1" applyAlignment="1">
      <alignment horizontal="right" vertical="center"/>
    </xf>
    <xf numFmtId="0" fontId="22" fillId="10" borderId="0" xfId="0" applyFont="1" applyFill="1" applyBorder="1" applyAlignment="1">
      <alignment vertical="center"/>
    </xf>
    <xf numFmtId="0" fontId="40" fillId="10" borderId="0" xfId="0" applyFont="1" applyFill="1" applyBorder="1" applyAlignment="1">
      <alignment horizontal="right" vertical="center"/>
    </xf>
    <xf numFmtId="0" fontId="22" fillId="8" borderId="14" xfId="0" applyFont="1" applyFill="1" applyBorder="1" applyAlignment="1">
      <alignment vertical="center" wrapText="1"/>
    </xf>
    <xf numFmtId="0" fontId="22" fillId="8" borderId="14" xfId="0" applyFont="1" applyFill="1" applyBorder="1" applyAlignment="1">
      <alignment horizontal="center" vertical="center"/>
    </xf>
    <xf numFmtId="0" fontId="21" fillId="8" borderId="14" xfId="0" applyFont="1" applyFill="1" applyBorder="1" applyAlignment="1">
      <alignment horizontal="right" vertical="center"/>
    </xf>
    <xf numFmtId="0" fontId="22" fillId="5" borderId="0" xfId="0" applyFont="1" applyFill="1" applyAlignment="1">
      <alignment horizontal="center" vertical="center" wrapText="1"/>
    </xf>
    <xf numFmtId="0" fontId="21" fillId="0" borderId="0" xfId="0" applyFont="1" applyBorder="1" applyAlignment="1">
      <alignment horizontal="center" vertical="center"/>
    </xf>
    <xf numFmtId="167" fontId="23" fillId="12" borderId="0" xfId="0" applyNumberFormat="1" applyFont="1" applyFill="1" applyBorder="1" applyAlignment="1">
      <alignment horizontal="right" vertical="center"/>
    </xf>
    <xf numFmtId="167" fontId="22" fillId="8" borderId="14" xfId="0" applyNumberFormat="1" applyFont="1" applyFill="1" applyBorder="1" applyAlignment="1">
      <alignment horizontal="right" vertical="center"/>
    </xf>
    <xf numFmtId="0" fontId="22" fillId="11" borderId="13" xfId="0" applyFont="1" applyFill="1" applyBorder="1" applyAlignment="1">
      <alignment vertical="center"/>
    </xf>
    <xf numFmtId="0" fontId="23" fillId="12" borderId="13" xfId="0" applyFont="1" applyFill="1" applyBorder="1" applyAlignment="1">
      <alignment horizontal="center" vertical="center"/>
    </xf>
    <xf numFmtId="0" fontId="21" fillId="5" borderId="13" xfId="0" applyFont="1" applyFill="1" applyBorder="1" applyAlignment="1">
      <alignment horizontal="center" vertical="center"/>
    </xf>
    <xf numFmtId="0" fontId="21" fillId="11" borderId="13" xfId="0" applyFont="1" applyFill="1" applyBorder="1"/>
    <xf numFmtId="0" fontId="21" fillId="0" borderId="0" xfId="0" applyFont="1" applyBorder="1" applyAlignment="1">
      <alignment horizontal="left" vertical="center"/>
    </xf>
    <xf numFmtId="10" fontId="21" fillId="0" borderId="0" xfId="0" applyNumberFormat="1" applyFont="1" applyAlignment="1">
      <alignment vertical="center"/>
    </xf>
    <xf numFmtId="167" fontId="21" fillId="0" borderId="0" xfId="0" applyNumberFormat="1" applyFont="1" applyAlignment="1">
      <alignment vertical="center"/>
    </xf>
    <xf numFmtId="167" fontId="21" fillId="8" borderId="0" xfId="0" applyNumberFormat="1" applyFont="1" applyFill="1" applyAlignment="1">
      <alignment vertical="center"/>
    </xf>
    <xf numFmtId="0" fontId="42" fillId="0" borderId="0" xfId="0" applyFont="1" applyAlignment="1">
      <alignment vertical="center"/>
    </xf>
    <xf numFmtId="167" fontId="28" fillId="0" borderId="0" xfId="0" applyNumberFormat="1" applyFont="1" applyAlignment="1">
      <alignment vertical="center"/>
    </xf>
    <xf numFmtId="167" fontId="21" fillId="0" borderId="0" xfId="0" applyNumberFormat="1" applyFont="1" applyAlignment="1">
      <alignment horizontal="right" vertical="center"/>
    </xf>
    <xf numFmtId="167" fontId="21" fillId="0" borderId="0" xfId="0" applyNumberFormat="1" applyFont="1" applyAlignment="1">
      <alignment vertical="center" wrapText="1"/>
    </xf>
    <xf numFmtId="167" fontId="21" fillId="8" borderId="0" xfId="0" applyNumberFormat="1" applyFont="1" applyFill="1" applyBorder="1" applyAlignment="1">
      <alignment horizontal="right" vertical="center"/>
    </xf>
    <xf numFmtId="1" fontId="21" fillId="11" borderId="0" xfId="0" applyNumberFormat="1" applyFont="1" applyFill="1" applyBorder="1" applyAlignment="1">
      <alignment horizontal="right" vertical="center"/>
    </xf>
    <xf numFmtId="167" fontId="21" fillId="0" borderId="0" xfId="0" applyNumberFormat="1" applyFont="1" applyFill="1"/>
    <xf numFmtId="167" fontId="21" fillId="3" borderId="0" xfId="0" applyNumberFormat="1" applyFont="1" applyFill="1" applyAlignment="1">
      <alignment horizontal="right" vertical="center"/>
    </xf>
    <xf numFmtId="167" fontId="21" fillId="0" borderId="0" xfId="0" applyNumberFormat="1" applyFont="1" applyFill="1" applyAlignment="1">
      <alignment horizontal="right" vertical="center"/>
    </xf>
    <xf numFmtId="167" fontId="21" fillId="4" borderId="0" xfId="0" applyNumberFormat="1" applyFont="1" applyFill="1" applyAlignment="1">
      <alignment horizontal="right" vertical="center"/>
    </xf>
    <xf numFmtId="167" fontId="21" fillId="0" borderId="0" xfId="0" applyNumberFormat="1" applyFont="1" applyAlignment="1">
      <alignment wrapText="1"/>
    </xf>
    <xf numFmtId="167" fontId="41" fillId="0" borderId="0" xfId="0" applyNumberFormat="1" applyFont="1" applyFill="1" applyAlignment="1">
      <alignment horizontal="right" vertical="center"/>
    </xf>
    <xf numFmtId="167" fontId="40" fillId="10" borderId="0" xfId="0" applyNumberFormat="1" applyFont="1" applyFill="1" applyBorder="1" applyAlignment="1">
      <alignment horizontal="right" vertical="center"/>
    </xf>
    <xf numFmtId="167" fontId="41" fillId="3" borderId="0" xfId="0" applyNumberFormat="1" applyFont="1" applyFill="1" applyBorder="1" applyAlignment="1">
      <alignment horizontal="right" vertical="center"/>
    </xf>
    <xf numFmtId="167" fontId="41" fillId="0" borderId="0" xfId="0" applyNumberFormat="1" applyFont="1" applyAlignment="1">
      <alignment horizontal="right" vertical="center"/>
    </xf>
    <xf numFmtId="167" fontId="22" fillId="4" borderId="0" xfId="0" applyNumberFormat="1" applyFont="1" applyFill="1" applyAlignment="1">
      <alignment horizontal="right" vertical="center"/>
    </xf>
    <xf numFmtId="0" fontId="42" fillId="0" borderId="21" xfId="0" applyFont="1" applyBorder="1" applyAlignment="1">
      <alignment horizontal="left" vertical="center"/>
    </xf>
    <xf numFmtId="0" fontId="21" fillId="0" borderId="23" xfId="0" applyFont="1" applyBorder="1" applyAlignment="1">
      <alignment horizontal="left" vertical="center"/>
    </xf>
    <xf numFmtId="10" fontId="21" fillId="0" borderId="24" xfId="0" applyNumberFormat="1" applyFont="1" applyBorder="1" applyAlignment="1">
      <alignment vertical="center"/>
    </xf>
    <xf numFmtId="0" fontId="21" fillId="0" borderId="25" xfId="0" applyFont="1" applyBorder="1" applyAlignment="1">
      <alignment horizontal="left" vertical="center"/>
    </xf>
    <xf numFmtId="167" fontId="21" fillId="0" borderId="26" xfId="0" applyNumberFormat="1" applyFont="1" applyBorder="1" applyAlignment="1">
      <alignment vertical="center"/>
    </xf>
    <xf numFmtId="3" fontId="21" fillId="6" borderId="0" xfId="0" applyNumberFormat="1" applyFont="1" applyFill="1" applyBorder="1" applyAlignment="1">
      <alignment horizontal="center" vertical="center"/>
    </xf>
    <xf numFmtId="9" fontId="21" fillId="6" borderId="0" xfId="1" applyNumberFormat="1" applyFont="1" applyFill="1" applyBorder="1" applyAlignment="1">
      <alignment horizontal="center" vertical="center"/>
    </xf>
    <xf numFmtId="0" fontId="21" fillId="6" borderId="0" xfId="0" applyFont="1" applyFill="1" applyBorder="1" applyAlignment="1">
      <alignment horizontal="center" vertical="center"/>
    </xf>
    <xf numFmtId="172" fontId="21" fillId="8" borderId="0" xfId="0" applyNumberFormat="1" applyFont="1" applyFill="1" applyBorder="1" applyAlignment="1">
      <alignment horizontal="right" vertical="center"/>
    </xf>
    <xf numFmtId="172" fontId="21" fillId="0" borderId="0" xfId="0" applyNumberFormat="1" applyFont="1" applyAlignment="1">
      <alignment horizontal="center" vertical="center"/>
    </xf>
    <xf numFmtId="172" fontId="21" fillId="0" borderId="0" xfId="1" applyNumberFormat="1" applyFont="1" applyAlignment="1">
      <alignment horizontal="right" vertical="center"/>
    </xf>
    <xf numFmtId="174" fontId="22" fillId="10" borderId="0" xfId="0" applyNumberFormat="1" applyFont="1" applyFill="1" applyBorder="1" applyAlignment="1">
      <alignment horizontal="right" vertical="center" wrapText="1"/>
    </xf>
    <xf numFmtId="174" fontId="21" fillId="0" borderId="0" xfId="0" applyNumberFormat="1" applyFont="1" applyAlignment="1">
      <alignment horizontal="right" vertical="center"/>
    </xf>
    <xf numFmtId="0" fontId="21" fillId="0" borderId="0" xfId="0" applyFont="1" applyBorder="1" applyAlignment="1">
      <alignment horizontal="center" vertical="center"/>
    </xf>
    <xf numFmtId="174" fontId="21" fillId="0" borderId="0" xfId="0" applyNumberFormat="1" applyFont="1"/>
    <xf numFmtId="1" fontId="22" fillId="5" borderId="0" xfId="0" applyNumberFormat="1" applyFont="1" applyFill="1" applyAlignment="1">
      <alignment horizontal="right" vertical="center"/>
    </xf>
    <xf numFmtId="172" fontId="21" fillId="8" borderId="0" xfId="0" applyNumberFormat="1" applyFont="1" applyFill="1" applyBorder="1" applyAlignment="1">
      <alignment horizontal="center" vertical="center"/>
    </xf>
    <xf numFmtId="176" fontId="21" fillId="8" borderId="0" xfId="0" applyNumberFormat="1" applyFont="1" applyFill="1" applyBorder="1" applyAlignment="1">
      <alignment horizontal="center" vertical="center"/>
    </xf>
    <xf numFmtId="10" fontId="42" fillId="0" borderId="22" xfId="0" applyNumberFormat="1" applyFont="1" applyBorder="1" applyAlignment="1">
      <alignment vertical="center"/>
    </xf>
    <xf numFmtId="167" fontId="21" fillId="0" borderId="0" xfId="0" applyNumberFormat="1" applyFont="1" applyBorder="1" applyAlignment="1">
      <alignment vertical="center"/>
    </xf>
    <xf numFmtId="0" fontId="28" fillId="0" borderId="0" xfId="0" applyFont="1" applyBorder="1" applyAlignment="1">
      <alignment horizontal="left" vertical="center"/>
    </xf>
    <xf numFmtId="0" fontId="43" fillId="0" borderId="0" xfId="0" applyFont="1" applyAlignment="1">
      <alignment vertical="center"/>
    </xf>
    <xf numFmtId="0" fontId="42" fillId="0" borderId="0" xfId="0" applyFont="1" applyBorder="1" applyAlignment="1">
      <alignment horizontal="left" vertical="center"/>
    </xf>
    <xf numFmtId="10" fontId="42" fillId="0" borderId="0" xfId="0" applyNumberFormat="1" applyFont="1" applyBorder="1" applyAlignment="1">
      <alignment vertical="center"/>
    </xf>
    <xf numFmtId="10" fontId="21" fillId="0" borderId="0" xfId="0" applyNumberFormat="1" applyFont="1" applyBorder="1" applyAlignment="1">
      <alignment vertical="center"/>
    </xf>
    <xf numFmtId="179" fontId="21" fillId="0" borderId="0" xfId="0" applyNumberFormat="1" applyFont="1" applyBorder="1" applyAlignment="1">
      <alignment vertical="center"/>
    </xf>
    <xf numFmtId="0" fontId="21" fillId="4" borderId="0" xfId="0" applyFont="1" applyFill="1" applyAlignment="1">
      <alignment vertical="center"/>
    </xf>
    <xf numFmtId="167" fontId="28" fillId="0" borderId="0" xfId="0" applyNumberFormat="1" applyFont="1" applyAlignment="1">
      <alignment vertical="center" wrapText="1"/>
    </xf>
    <xf numFmtId="179" fontId="21" fillId="0" borderId="0" xfId="0" applyNumberFormat="1" applyFont="1" applyBorder="1" applyAlignment="1">
      <alignment horizontal="center" vertical="center" wrapText="1"/>
    </xf>
    <xf numFmtId="0" fontId="21" fillId="0" borderId="0" xfId="0" applyFont="1" applyBorder="1" applyAlignment="1">
      <alignment horizontal="center" vertical="center"/>
    </xf>
    <xf numFmtId="1" fontId="22" fillId="13" borderId="0" xfId="0" applyNumberFormat="1" applyFont="1" applyFill="1" applyAlignment="1">
      <alignment horizontal="right" vertical="center"/>
    </xf>
    <xf numFmtId="0" fontId="21" fillId="0" borderId="0" xfId="0" applyFont="1" applyFill="1" applyBorder="1" applyAlignment="1">
      <alignment vertical="center" wrapText="1"/>
    </xf>
    <xf numFmtId="0" fontId="22" fillId="0" borderId="0" xfId="0" applyFont="1" applyFill="1" applyAlignment="1">
      <alignment vertical="center" wrapText="1"/>
    </xf>
    <xf numFmtId="0" fontId="22" fillId="4" borderId="0" xfId="0" applyFont="1" applyFill="1" applyAlignment="1">
      <alignment vertical="center" wrapText="1"/>
    </xf>
    <xf numFmtId="9" fontId="21" fillId="0" borderId="0" xfId="1" applyFont="1" applyFill="1" applyBorder="1" applyAlignment="1">
      <alignment vertical="center" wrapText="1"/>
    </xf>
    <xf numFmtId="0" fontId="44" fillId="0" borderId="0" xfId="0" applyFont="1"/>
    <xf numFmtId="0" fontId="22" fillId="11" borderId="13" xfId="0" applyFont="1" applyFill="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xf>
    <xf numFmtId="14" fontId="21" fillId="8" borderId="0" xfId="0" applyNumberFormat="1" applyFont="1" applyFill="1" applyBorder="1" applyAlignment="1">
      <alignment horizontal="center"/>
    </xf>
    <xf numFmtId="14" fontId="21" fillId="6" borderId="0" xfId="0" applyNumberFormat="1" applyFont="1" applyFill="1" applyBorder="1" applyAlignment="1">
      <alignment horizontal="center"/>
    </xf>
    <xf numFmtId="171" fontId="5" fillId="0" borderId="0" xfId="6" applyNumberFormat="1" applyFont="1" applyFill="1" applyAlignment="1">
      <alignment vertical="center"/>
    </xf>
    <xf numFmtId="0" fontId="21" fillId="11" borderId="0" xfId="1" applyNumberFormat="1" applyFont="1" applyFill="1" applyBorder="1" applyAlignment="1">
      <alignment horizontal="center" vertical="center"/>
    </xf>
    <xf numFmtId="180" fontId="22" fillId="10" borderId="0" xfId="5" applyNumberFormat="1" applyFont="1" applyFill="1" applyBorder="1" applyAlignment="1">
      <alignment horizontal="right" vertical="center"/>
    </xf>
    <xf numFmtId="181" fontId="22" fillId="10" borderId="0" xfId="8" applyNumberFormat="1" applyFont="1" applyFill="1" applyBorder="1" applyAlignment="1">
      <alignment vertical="center"/>
    </xf>
    <xf numFmtId="172" fontId="21" fillId="0" borderId="0" xfId="0" applyNumberFormat="1" applyFont="1" applyAlignment="1">
      <alignment vertical="center"/>
    </xf>
    <xf numFmtId="178" fontId="21" fillId="11" borderId="0" xfId="0" applyNumberFormat="1" applyFont="1" applyFill="1" applyBorder="1" applyAlignment="1">
      <alignment horizontal="center" vertical="center"/>
    </xf>
    <xf numFmtId="0" fontId="21" fillId="0" borderId="28" xfId="0" applyFont="1" applyBorder="1"/>
    <xf numFmtId="0" fontId="21" fillId="0" borderId="28" xfId="0" applyFont="1" applyFill="1" applyBorder="1"/>
    <xf numFmtId="0" fontId="21" fillId="0" borderId="29" xfId="0" applyFont="1" applyFill="1" applyBorder="1"/>
    <xf numFmtId="3" fontId="22" fillId="8" borderId="30" xfId="0" applyNumberFormat="1" applyFont="1" applyFill="1" applyBorder="1" applyAlignment="1">
      <alignment horizontal="center" vertical="center"/>
    </xf>
    <xf numFmtId="0" fontId="21" fillId="0" borderId="31" xfId="0" applyFont="1" applyFill="1" applyBorder="1"/>
    <xf numFmtId="0" fontId="22" fillId="14" borderId="32" xfId="0" applyFont="1" applyFill="1" applyBorder="1" applyAlignment="1">
      <alignment horizontal="center" vertical="center"/>
    </xf>
    <xf numFmtId="0" fontId="22" fillId="6" borderId="33" xfId="0" applyFont="1" applyFill="1" applyBorder="1" applyAlignment="1">
      <alignment horizontal="center" vertical="center"/>
    </xf>
    <xf numFmtId="0" fontId="45" fillId="0" borderId="27" xfId="0" applyFont="1" applyFill="1" applyBorder="1" applyAlignment="1">
      <alignment horizontal="center"/>
    </xf>
    <xf numFmtId="0" fontId="21" fillId="0" borderId="0" xfId="0" applyFont="1" applyFill="1" applyBorder="1" applyAlignment="1"/>
    <xf numFmtId="0" fontId="45" fillId="0" borderId="27" xfId="0" applyFont="1" applyFill="1" applyBorder="1" applyAlignment="1">
      <alignment horizontal="center" vertical="center"/>
    </xf>
    <xf numFmtId="0" fontId="23" fillId="0" borderId="0" xfId="0" applyFont="1" applyBorder="1"/>
    <xf numFmtId="0" fontId="5" fillId="0" borderId="0" xfId="0" applyFont="1" applyFill="1" applyBorder="1" applyAlignment="1">
      <alignment wrapText="1"/>
    </xf>
    <xf numFmtId="9" fontId="5" fillId="0" borderId="0" xfId="1" applyFont="1" applyFill="1" applyBorder="1" applyAlignment="1">
      <alignment vertical="center" wrapText="1"/>
    </xf>
    <xf numFmtId="0" fontId="5" fillId="0" borderId="0" xfId="0" applyFont="1" applyFill="1" applyBorder="1" applyAlignment="1">
      <alignment vertical="center" wrapText="1"/>
    </xf>
    <xf numFmtId="0" fontId="27" fillId="0" borderId="0" xfId="0" applyFont="1" applyFill="1" applyAlignment="1">
      <alignment vertical="center" wrapText="1"/>
    </xf>
    <xf numFmtId="0" fontId="5" fillId="0" borderId="0" xfId="0" applyFont="1" applyBorder="1" applyAlignment="1">
      <alignment vertical="top" wrapText="1"/>
    </xf>
    <xf numFmtId="0" fontId="5" fillId="0" borderId="0" xfId="0" applyFont="1" applyBorder="1" applyAlignment="1">
      <alignment wrapText="1"/>
    </xf>
    <xf numFmtId="0" fontId="5" fillId="0" borderId="0" xfId="0" applyNumberFormat="1" applyFont="1" applyBorder="1" applyAlignment="1">
      <alignment vertical="top" wrapText="1"/>
    </xf>
    <xf numFmtId="1" fontId="5" fillId="0" borderId="0" xfId="0" applyNumberFormat="1" applyFont="1" applyBorder="1" applyAlignment="1">
      <alignment vertical="top" wrapText="1"/>
    </xf>
    <xf numFmtId="3" fontId="5" fillId="0" borderId="0" xfId="0" applyNumberFormat="1" applyFont="1" applyBorder="1" applyAlignment="1">
      <alignment vertical="top" wrapText="1"/>
    </xf>
    <xf numFmtId="1" fontId="5" fillId="0" borderId="0" xfId="0" applyNumberFormat="1" applyFont="1" applyBorder="1" applyAlignment="1">
      <alignment horizontal="left" vertical="top" wrapText="1"/>
    </xf>
    <xf numFmtId="0" fontId="5" fillId="0" borderId="0" xfId="0" applyFont="1" applyBorder="1" applyAlignment="1">
      <alignment vertical="center" wrapText="1"/>
    </xf>
    <xf numFmtId="0" fontId="5" fillId="0" borderId="0" xfId="0" applyFont="1" applyBorder="1" applyAlignment="1"/>
    <xf numFmtId="0" fontId="5" fillId="0" borderId="0" xfId="0" applyFont="1" applyFill="1" applyBorder="1" applyAlignment="1">
      <alignment horizontal="left" vertical="center" wrapText="1"/>
    </xf>
    <xf numFmtId="0" fontId="5" fillId="3" borderId="0" xfId="0" applyFont="1" applyFill="1" applyBorder="1" applyAlignment="1">
      <alignment vertical="center" wrapText="1"/>
    </xf>
    <xf numFmtId="0" fontId="5" fillId="0" borderId="0" xfId="0" applyFont="1" applyBorder="1" applyAlignment="1">
      <alignment horizontal="left" vertical="top" wrapText="1"/>
    </xf>
    <xf numFmtId="0" fontId="27" fillId="3" borderId="0" xfId="0" applyFont="1" applyFill="1" applyAlignment="1">
      <alignment vertical="center" wrapText="1"/>
    </xf>
    <xf numFmtId="9" fontId="39" fillId="9" borderId="0" xfId="1" applyFont="1" applyFill="1" applyAlignment="1" applyProtection="1">
      <alignment horizontal="center" vertical="center"/>
      <protection hidden="1"/>
    </xf>
    <xf numFmtId="3" fontId="39" fillId="9" borderId="0" xfId="0" applyNumberFormat="1" applyFont="1" applyFill="1" applyAlignment="1" applyProtection="1">
      <alignment horizontal="center" vertical="center"/>
      <protection hidden="1"/>
    </xf>
    <xf numFmtId="3" fontId="36" fillId="10" borderId="0" xfId="0" applyNumberFormat="1" applyFont="1" applyFill="1" applyBorder="1" applyAlignment="1" applyProtection="1">
      <alignment horizontal="center" vertical="center"/>
      <protection hidden="1"/>
    </xf>
    <xf numFmtId="3" fontId="36" fillId="10" borderId="0" xfId="0" applyNumberFormat="1" applyFont="1" applyFill="1" applyBorder="1" applyAlignment="1" applyProtection="1">
      <alignment horizontal="center" vertical="center" wrapText="1"/>
      <protection hidden="1"/>
    </xf>
    <xf numFmtId="3" fontId="31" fillId="4" borderId="0" xfId="0" applyNumberFormat="1" applyFont="1" applyFill="1" applyAlignment="1" applyProtection="1">
      <alignment horizontal="center" vertical="center"/>
      <protection hidden="1"/>
    </xf>
    <xf numFmtId="0" fontId="35" fillId="11" borderId="0" xfId="0" applyFont="1" applyFill="1" applyBorder="1" applyAlignment="1" applyProtection="1">
      <alignment horizontal="left" vertical="center"/>
      <protection hidden="1"/>
    </xf>
    <xf numFmtId="0" fontId="35" fillId="11" borderId="13" xfId="0" applyFont="1" applyFill="1" applyBorder="1" applyAlignment="1" applyProtection="1">
      <alignment horizontal="left" vertical="center"/>
      <protection hidden="1"/>
    </xf>
    <xf numFmtId="1" fontId="5" fillId="0" borderId="0" xfId="0" applyNumberFormat="1" applyFont="1" applyBorder="1" applyAlignment="1">
      <alignment horizontal="left" vertical="top" wrapText="1"/>
    </xf>
    <xf numFmtId="0" fontId="5" fillId="0" borderId="0" xfId="0" applyFont="1" applyBorder="1" applyAlignment="1">
      <alignment horizontal="left" vertical="top" wrapText="1"/>
    </xf>
    <xf numFmtId="172" fontId="5" fillId="0" borderId="0" xfId="0" applyNumberFormat="1" applyFont="1" applyBorder="1" applyAlignment="1">
      <alignment horizontal="left"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top" wrapText="1"/>
    </xf>
    <xf numFmtId="0" fontId="40" fillId="11" borderId="0" xfId="0" applyFont="1" applyFill="1" applyBorder="1" applyAlignment="1">
      <alignment horizontal="center" vertical="center"/>
    </xf>
    <xf numFmtId="0" fontId="21" fillId="0" borderId="0" xfId="0" applyFont="1" applyFill="1" applyAlignment="1">
      <alignment horizontal="center" wrapText="1"/>
    </xf>
    <xf numFmtId="173" fontId="27" fillId="5" borderId="0" xfId="11" applyFont="1" applyFill="1" applyBorder="1" applyAlignment="1">
      <alignment horizontal="left" vertical="center" wrapText="1"/>
    </xf>
    <xf numFmtId="0" fontId="43" fillId="0" borderId="0" xfId="0" applyFont="1" applyAlignment="1">
      <alignment horizontal="left" vertical="center" wrapText="1"/>
    </xf>
    <xf numFmtId="171" fontId="22" fillId="8" borderId="0" xfId="10" applyFont="1" applyFill="1" applyBorder="1" applyAlignment="1">
      <alignment horizontal="center" vertical="center" wrapText="1"/>
    </xf>
    <xf numFmtId="0" fontId="22" fillId="14" borderId="0" xfId="0" applyFont="1" applyFill="1" applyBorder="1" applyAlignment="1">
      <alignment horizontal="center"/>
    </xf>
    <xf numFmtId="3" fontId="22" fillId="8" borderId="0" xfId="0" applyNumberFormat="1" applyFont="1" applyFill="1" applyBorder="1" applyAlignment="1">
      <alignment horizontal="center" vertical="center"/>
    </xf>
  </cellXfs>
  <cellStyles count="16">
    <cellStyle name="Accent2" xfId="2" builtinId="33"/>
    <cellStyle name="Brand Align Left Text" xfId="13" xr:uid="{00000000-0005-0000-0000-000001000000}"/>
    <cellStyle name="Brand Default 3" xfId="6" xr:uid="{00000000-0005-0000-0000-000002000000}"/>
    <cellStyle name="Brand Percent 2" xfId="7" xr:uid="{00000000-0005-0000-0000-000003000000}"/>
    <cellStyle name="Normal" xfId="0" builtinId="0"/>
    <cellStyle name="Normal 2" xfId="3" xr:uid="{00000000-0005-0000-0000-000005000000}"/>
    <cellStyle name="Normal 3" xfId="4" xr:uid="{00000000-0005-0000-0000-000006000000}"/>
    <cellStyle name="Percent" xfId="1" builtinId="5"/>
    <cellStyle name="Percent 2" xfId="5" xr:uid="{00000000-0005-0000-0000-000008000000}"/>
    <cellStyle name="Percent 2 2" xfId="12" xr:uid="{00000000-0005-0000-0000-000009000000}"/>
    <cellStyle name="Percent 3" xfId="15" xr:uid="{00000000-0005-0000-0000-00000A000000}"/>
    <cellStyle name="Smart Subtitle 1 2 2" xfId="11" xr:uid="{00000000-0005-0000-0000-00000B000000}"/>
    <cellStyle name="Smart Subtitle 1 2 5" xfId="10" xr:uid="{00000000-0005-0000-0000-00000C000000}"/>
    <cellStyle name="Smart Subtotal 2" xfId="8" xr:uid="{00000000-0005-0000-0000-00000D000000}"/>
    <cellStyle name="Smart Title" xfId="14" xr:uid="{00000000-0005-0000-0000-00000E000000}"/>
    <cellStyle name="Smart Total 5" xfId="9" xr:uid="{00000000-0005-0000-0000-00000F000000}"/>
  </cellStyles>
  <dxfs count="22">
    <dxf>
      <font>
        <color rgb="FF9C0006"/>
      </font>
      <fill>
        <patternFill>
          <bgColor rgb="FFFFC7CE"/>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theme="9" tint="0.59996337778862885"/>
        </patternFill>
      </fill>
    </dxf>
    <dxf>
      <font>
        <color rgb="FF9C0006"/>
      </font>
      <fill>
        <patternFill>
          <bgColor rgb="FFFFC7CE"/>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
      <font>
        <color rgb="FF9C0006"/>
      </font>
      <fill>
        <patternFill>
          <bgColor theme="9" tint="0.59996337778862885"/>
        </patternFill>
      </fill>
    </dxf>
  </dxfs>
  <tableStyles count="0" defaultTableStyle="TableStyleMedium2" defaultPivotStyle="PivotStyleLight16"/>
  <colors>
    <mruColors>
      <color rgb="FFA4CCB6"/>
      <color rgb="FF538F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82202537182852"/>
          <c:y val="5.0925925925925923E-2"/>
          <c:w val="0.79677974628171477"/>
          <c:h val="0.8416746864975212"/>
        </c:manualLayout>
      </c:layout>
      <c:barChart>
        <c:barDir val="col"/>
        <c:grouping val="clustered"/>
        <c:varyColors val="0"/>
        <c:ser>
          <c:idx val="0"/>
          <c:order val="0"/>
          <c:spPr>
            <a:solidFill>
              <a:schemeClr val="accent1"/>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('Pamatkapitāla ieguldījumi'!$B$38,'Pamatkapitāla ieguldījumi'!$B$39)</c:f>
              <c:strCache>
                <c:ptCount val="2"/>
                <c:pt idx="0">
                  <c:v>Kopējās faktiskās attiecināmās izmaksas </c:v>
                </c:pt>
                <c:pt idx="1">
                  <c:v>Kopējās neattiecināmās izmaksas </c:v>
                </c:pt>
              </c:strCache>
            </c:strRef>
          </c:cat>
          <c:val>
            <c:numRef>
              <c:f>('Pamatkapitāla ieguldījumi'!$E$38,'Pamatkapitāla ieguldījumi'!$E$39)</c:f>
              <c:numCache>
                <c:formatCode>_(* #\ ##0_);_(* \(#\ ##0\);_(* "-"_);@_)</c:formatCode>
                <c:ptCount val="2"/>
                <c:pt idx="0">
                  <c:v>950626.56</c:v>
                </c:pt>
                <c:pt idx="1">
                  <c:v>296408.10360000003</c:v>
                </c:pt>
              </c:numCache>
            </c:numRef>
          </c:val>
          <c:extLst>
            <c:ext xmlns:c16="http://schemas.microsoft.com/office/drawing/2014/chart" uri="{C3380CC4-5D6E-409C-BE32-E72D297353CC}">
              <c16:uniqueId val="{00000000-926A-417D-A780-AD90E0C7D29A}"/>
            </c:ext>
          </c:extLst>
        </c:ser>
        <c:dLbls>
          <c:showLegendKey val="0"/>
          <c:showVal val="0"/>
          <c:showCatName val="0"/>
          <c:showSerName val="0"/>
          <c:showPercent val="0"/>
          <c:showBubbleSize val="0"/>
        </c:dLbls>
        <c:gapWidth val="219"/>
        <c:overlap val="-27"/>
        <c:axId val="428630239"/>
        <c:axId val="428630655"/>
      </c:barChart>
      <c:catAx>
        <c:axId val="42863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428630655"/>
        <c:crosses val="autoZero"/>
        <c:auto val="1"/>
        <c:lblAlgn val="ctr"/>
        <c:lblOffset val="100"/>
        <c:noMultiLvlLbl val="0"/>
      </c:catAx>
      <c:valAx>
        <c:axId val="42863065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4286302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53958880139982"/>
          <c:y val="5.0925925925925923E-2"/>
          <c:w val="0.84101596675415569"/>
          <c:h val="0.79081802274715662"/>
        </c:manualLayout>
      </c:layout>
      <c:barChart>
        <c:barDir val="col"/>
        <c:grouping val="clustered"/>
        <c:varyColors val="0"/>
        <c:ser>
          <c:idx val="0"/>
          <c:order val="0"/>
          <c:spPr>
            <a:solidFill>
              <a:schemeClr val="tx2"/>
            </a:solidFill>
            <a:ln>
              <a:noFill/>
            </a:ln>
            <a:effectLst/>
          </c:spPr>
          <c:invertIfNegative val="0"/>
          <c:dLbls>
            <c:numFmt formatCode="#,##0" sourceLinked="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'Galvenie rādītāji'!$D$14:$D$15</c:f>
              <c:strCache>
                <c:ptCount val="2"/>
                <c:pt idx="0">
                  <c:v>Attiecināmās izmaksas uz bruto ēkas platību </c:v>
                </c:pt>
                <c:pt idx="1">
                  <c:v>Neattiecināmās izmaksas uz ēkas bruto platību </c:v>
                </c:pt>
              </c:strCache>
            </c:strRef>
          </c:cat>
          <c:val>
            <c:numRef>
              <c:f>'Galvenie rādītāji'!$E$14:$E$15</c:f>
              <c:numCache>
                <c:formatCode>_(* #\ ##0.0_);_(* \(#\ ##0.0\);_(* "-"_);@_)</c:formatCode>
                <c:ptCount val="2"/>
                <c:pt idx="0">
                  <c:v>831.99999999999989</c:v>
                </c:pt>
                <c:pt idx="1">
                  <c:v>259.42</c:v>
                </c:pt>
              </c:numCache>
            </c:numRef>
          </c:val>
          <c:extLst>
            <c:ext xmlns:c16="http://schemas.microsoft.com/office/drawing/2014/chart" uri="{C3380CC4-5D6E-409C-BE32-E72D297353CC}">
              <c16:uniqueId val="{00000000-0457-4483-926A-9EFEA6855189}"/>
            </c:ext>
          </c:extLst>
        </c:ser>
        <c:dLbls>
          <c:showLegendKey val="0"/>
          <c:showVal val="0"/>
          <c:showCatName val="0"/>
          <c:showSerName val="0"/>
          <c:showPercent val="0"/>
          <c:showBubbleSize val="0"/>
        </c:dLbls>
        <c:gapWidth val="219"/>
        <c:overlap val="-27"/>
        <c:axId val="1036682543"/>
        <c:axId val="1036688783"/>
      </c:barChart>
      <c:catAx>
        <c:axId val="10366825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1036688783"/>
        <c:crosses val="autoZero"/>
        <c:auto val="1"/>
        <c:lblAlgn val="ctr"/>
        <c:lblOffset val="100"/>
        <c:noMultiLvlLbl val="0"/>
      </c:catAx>
      <c:valAx>
        <c:axId val="1036688783"/>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crossAx val="1036682543"/>
        <c:crosses val="autoZero"/>
        <c:crossBetween val="between"/>
      </c:valAx>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7798581731039"/>
          <c:y val="3.5460488676956642E-2"/>
          <c:w val="0.49357779820426051"/>
          <c:h val="0.80744551100394335"/>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C74-4B2C-8BA3-F25D7FF47BC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7839-4E79-B0E6-FE3F920B26FB}"/>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'Galvenie rādītāji'!$A$37:$A$38</c:f>
              <c:strCache>
                <c:ptCount val="2"/>
                <c:pt idx="0">
                  <c:v>Aizdevums </c:v>
                </c:pt>
                <c:pt idx="1">
                  <c:v>Ieguldījums </c:v>
                </c:pt>
              </c:strCache>
            </c:strRef>
          </c:cat>
          <c:val>
            <c:numRef>
              <c:f>'Galvenie rādītāji'!$B$37:$B$38</c:f>
              <c:numCache>
                <c:formatCode>0%</c:formatCode>
                <c:ptCount val="2"/>
                <c:pt idx="0">
                  <c:v>0.84303934324091556</c:v>
                </c:pt>
                <c:pt idx="1">
                  <c:v>0.05</c:v>
                </c:pt>
              </c:numCache>
            </c:numRef>
          </c:val>
          <c:extLst>
            <c:ext xmlns:c16="http://schemas.microsoft.com/office/drawing/2014/chart" uri="{C3380CC4-5D6E-409C-BE32-E72D297353CC}">
              <c16:uniqueId val="{00000000-7839-4E79-B0E6-FE3F920B26FB}"/>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374640625725847"/>
          <c:y val="4.2762766854063904E-2"/>
          <c:w val="0.46096895882733346"/>
          <c:h val="0.728662753314689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09AC-4E99-9F4F-41A62D4F856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09AC-4E99-9F4F-41A62D4F8560}"/>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'Galvenie rādītāji'!$D$37:$D$38</c:f>
              <c:strCache>
                <c:ptCount val="2"/>
                <c:pt idx="0">
                  <c:v>Sabiedrības "Altum" aizdevums attiecināmo izmaksu finansēšanai </c:v>
                </c:pt>
                <c:pt idx="1">
                  <c:v>Neatteicnāmo izmaksu aizdevuma finansējums </c:v>
                </c:pt>
              </c:strCache>
            </c:strRef>
          </c:cat>
          <c:val>
            <c:numRef>
              <c:f>'Galvenie rādītāji'!$E$37:$E$38</c:f>
              <c:numCache>
                <c:formatCode>0%</c:formatCode>
                <c:ptCount val="2"/>
                <c:pt idx="0">
                  <c:v>0.72218809103350634</c:v>
                </c:pt>
                <c:pt idx="1">
                  <c:v>0.16522174395693107</c:v>
                </c:pt>
              </c:numCache>
            </c:numRef>
          </c:val>
          <c:extLst>
            <c:ext xmlns:c16="http://schemas.microsoft.com/office/drawing/2014/chart" uri="{C3380CC4-5D6E-409C-BE32-E72D297353CC}">
              <c16:uniqueId val="{00000000-09AC-4E99-9F4F-41A62D4F8560}"/>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6.9566932528562192E-2"/>
          <c:y val="0.79028560972543049"/>
          <c:w val="0.84716174041151804"/>
          <c:h val="0.20971439027456956"/>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lv-LV"/>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100">
          <a:solidFill>
            <a:schemeClr val="tx1"/>
          </a:solidFill>
        </a:defRPr>
      </a:pPr>
      <a:endParaRPr lang="lv-LV"/>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strDim>
      <cx:numDim type="val">
        <cx:f>_xlchart.v5.1</cx:f>
      </cx:numDim>
    </cx:data>
  </cx:chartData>
  <cx:chart>
    <cx:plotArea>
      <cx:plotAreaRegion>
        <cx:series layoutId="waterfall" uniqueId="{16071F77-5488-4190-9133-8B5938BB98E4}">
          <cx:dataLabels pos="outEnd">
            <cx:numFmt formatCode="0.0%" sourceLinked="0"/>
            <cx:txPr>
              <a:bodyPr spcFirstLastPara="1" vertOverflow="ellipsis" horzOverflow="overflow" wrap="square" lIns="0" tIns="0" rIns="0" bIns="0" anchor="ctr" anchorCtr="1"/>
              <a:lstStyle/>
              <a:p>
                <a:pPr algn="ctr" rtl="0">
                  <a:defRPr sz="1100" b="1">
                    <a:solidFill>
                      <a:schemeClr val="tx1"/>
                    </a:solidFill>
                    <a:latin typeface="+mn-lt"/>
                  </a:defRPr>
                </a:pPr>
                <a:endParaRPr lang="en-US" sz="1100" b="1" i="0" u="none" strike="noStrike" baseline="0">
                  <a:solidFill>
                    <a:schemeClr val="tx1"/>
                  </a:solidFill>
                  <a:latin typeface="+mn-lt"/>
                </a:endParaRPr>
              </a:p>
            </cx:txPr>
            <cx:visibility seriesName="0" categoryName="0" value="1"/>
            <cx:separator>, </cx:separator>
          </cx:dataLabels>
          <cx:dataId val="0"/>
          <cx:layoutPr>
            <cx:subtotals>
              <cx:idx val="2"/>
            </cx:subtotals>
          </cx:layoutPr>
        </cx:series>
      </cx:plotAreaRegion>
      <cx:axis id="0">
        <cx:catScaling gapWidth="0.5"/>
        <cx:tickLabels/>
        <cx:txPr>
          <a:bodyPr vertOverflow="overflow" horzOverflow="overflow" wrap="square" lIns="0" tIns="0" rIns="0" bIns="0"/>
          <a:lstStyle/>
          <a:p>
            <a:pPr algn="ctr" rtl="0">
              <a:defRPr sz="1100" b="0" i="0">
                <a:solidFill>
                  <a:schemeClr val="tx1"/>
                </a:solidFill>
                <a:latin typeface="+mn-lt"/>
                <a:ea typeface="Arial" panose="020B0604020202020204" pitchFamily="34" charset="0"/>
                <a:cs typeface="Arial" panose="020B0604020202020204" pitchFamily="34" charset="0"/>
              </a:defRPr>
            </a:pPr>
            <a:endParaRPr lang="en-GB" sz="1100">
              <a:solidFill>
                <a:schemeClr val="tx1"/>
              </a:solidFill>
              <a:latin typeface="+mn-lt"/>
            </a:endParaRPr>
          </a:p>
        </cx:txPr>
      </cx:axis>
      <cx:axis id="1">
        <cx:valScaling/>
        <cx:tickLabels/>
        <cx:txPr>
          <a:bodyPr vertOverflow="overflow" horzOverflow="overflow" wrap="square" lIns="0" tIns="0" rIns="0" bIns="0"/>
          <a:lstStyle/>
          <a:p>
            <a:pPr algn="ctr" rtl="0">
              <a:defRPr sz="1100" b="0" i="0">
                <a:solidFill>
                  <a:schemeClr val="tx1"/>
                </a:solidFill>
                <a:latin typeface="+mn-lt"/>
                <a:ea typeface="Arial" panose="020B0604020202020204" pitchFamily="34" charset="0"/>
                <a:cs typeface="Arial" panose="020B0604020202020204" pitchFamily="34" charset="0"/>
              </a:defRPr>
            </a:pPr>
            <a:endParaRPr lang="en-GB" sz="1100">
              <a:solidFill>
                <a:schemeClr val="tx1"/>
              </a:solidFill>
              <a:latin typeface="+mn-lt"/>
            </a:endParaRPr>
          </a:p>
        </cx:txPr>
      </cx:axis>
    </cx:plotArea>
  </cx:chart>
  <cx:spPr>
    <a:solidFill>
      <a:schemeClr val="bg1">
        <a:lumMod val="95000"/>
      </a:schemeClr>
    </a:solidFill>
    <a:ln>
      <a:solidFill>
        <a:schemeClr val="bg1">
          <a:lumMod val="85000"/>
        </a:schemeClr>
      </a:solidFill>
    </a:ln>
  </cx:spPr>
  <cx:fmtOvrs>
    <cx:fmtOvr idx="1">
      <cx:spPr>
        <a:solidFill>
          <a:schemeClr val="accent5"/>
        </a:solidFill>
      </cx:spPr>
    </cx:fmtOvr>
    <cx:fmtOvr idx="2">
      <cx:spPr>
        <a:solidFill>
          <a:schemeClr val="accent1"/>
        </a:solidFill>
      </cx:spPr>
    </cx:fmtOvr>
    <cx:fmtOvr idx="0">
      <cx:spPr>
        <a:solidFill>
          <a:schemeClr val="accent2"/>
        </a:solidFill>
      </cx:spPr>
    </cx:fmtOvr>
  </cx:fmtOvrs>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trlProps/ctrlProp1.xml><?xml version="1.0" encoding="utf-8"?>
<formControlPr xmlns="http://schemas.microsoft.com/office/spreadsheetml/2009/9/main" objectType="CheckBox" checked="Checked" fmlaLink="$F$33" lockText="1" noThreeD="1"/>
</file>

<file path=xl/ctrlProps/ctrlProp2.xml><?xml version="1.0" encoding="utf-8"?>
<formControlPr xmlns="http://schemas.microsoft.com/office/spreadsheetml/2009/9/main" objectType="CheckBox" checked="Checked" fmlaLink="$F$47" lockText="1" noThreeD="1"/>
</file>

<file path=xl/ctrlProps/ctrlProp3.xml><?xml version="1.0" encoding="utf-8"?>
<formControlPr xmlns="http://schemas.microsoft.com/office/spreadsheetml/2009/9/main" objectType="CheckBox" checked="Checked" fmlaLink="$F$6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microsoft.com/office/2014/relationships/chartEx" Target="../charts/chartEx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619125</xdr:colOff>
      <xdr:row>19</xdr:row>
      <xdr:rowOff>30480</xdr:rowOff>
    </xdr:from>
    <xdr:ext cx="581698" cy="235834"/>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21030" y="4305300"/>
          <a:ext cx="581698" cy="235834"/>
        </a:xfrm>
        <a:prstGeom prst="rect">
          <a:avLst/>
        </a:prstGeom>
        <a:noFill/>
        <a:ln>
          <a:noFill/>
        </a:ln>
        <a:effectLst/>
        <a:extLst>
          <a:ext uri="{909E8E84-426E-40DD-AFC4-6F175D3DCCD1}">
            <a14:hiddenFill xmlns:a14="http://schemas.microsoft.com/office/drawing/2010/main">
              <a:solidFill>
                <a:srgbClr val="0571B1"/>
              </a:solidFill>
            </a14:hiddenFill>
          </a:ext>
          <a:ext uri="{91240B29-F687-4F45-9708-019B960494DF}">
            <a14:hiddenLine xmlns:a14="http://schemas.microsoft.com/office/drawing/2010/main" w="12700">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D90D39"/>
                </a:outerShdw>
              </a:effectLst>
            </a14:hiddenEffects>
          </a:ext>
        </a:extLst>
      </xdr:spPr>
      <xdr:txBody>
        <a:bodyPr wrap="none" lIns="0" tIns="0" rIns="0" bIns="0" anchor="t" upright="1">
          <a:spAutoFit/>
        </a:bodyPr>
        <a:lstStyle/>
        <a:p>
          <a:pPr algn="l" rtl="0">
            <a:defRPr sz="1000"/>
          </a:pPr>
          <a:r>
            <a:rPr lang="lv-LV" sz="800" b="0" i="1" u="none" strike="noStrike" baseline="0">
              <a:solidFill>
                <a:srgbClr val="000000"/>
              </a:solidFill>
              <a:latin typeface="Arial"/>
              <a:cs typeface="Arial"/>
            </a:rPr>
            <a:t>Konfidenciāli</a:t>
          </a:r>
          <a:endParaRPr lang="en-US" sz="800" b="0" i="1" u="none" strike="noStrike" baseline="0">
            <a:solidFill>
              <a:srgbClr val="000000"/>
            </a:solidFill>
            <a:latin typeface="Arial"/>
            <a:cs typeface="Arial"/>
          </a:endParaRPr>
        </a:p>
        <a:p>
          <a:pPr algn="l" rtl="0">
            <a:defRPr sz="1000"/>
          </a:pPr>
          <a:endParaRPr lang="en-US" sz="800" b="0" i="0" u="none" strike="noStrike" baseline="0">
            <a:solidFill>
              <a:srgbClr val="000000"/>
            </a:solidFill>
            <a:latin typeface="Arial"/>
            <a:cs typeface="Arial"/>
          </a:endParaRPr>
        </a:p>
      </xdr:txBody>
    </xdr:sp>
    <xdr:clientData/>
  </xdr:oneCellAnchor>
  <xdr:twoCellAnchor editAs="oneCell">
    <xdr:from>
      <xdr:col>0</xdr:col>
      <xdr:colOff>495300</xdr:colOff>
      <xdr:row>0</xdr:row>
      <xdr:rowOff>83821</xdr:rowOff>
    </xdr:from>
    <xdr:to>
      <xdr:col>2</xdr:col>
      <xdr:colOff>295910</xdr:colOff>
      <xdr:row>4</xdr:row>
      <xdr:rowOff>294006</xdr:rowOff>
    </xdr:to>
    <xdr:pic>
      <xdr:nvPicPr>
        <xdr:cNvPr id="3" name="Picture 2" descr="https://lh4.googleusercontent.com/QeB6cJrVjq7ZeQkx081pnFQF5BYQ77-g5AYrpAY9_LdJX7zNuiflwnbKWRy4VB2giF7wlFQjiM75DCvOV2UiRKb1Xp0cUUdWbDlRdEIzXxKe4SXhJm2EGvbzjSwkcsw7LThhmZFicF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85726"/>
          <a:ext cx="1148715" cy="9144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85505</xdr:rowOff>
    </xdr:from>
    <xdr:to>
      <xdr:col>1</xdr:col>
      <xdr:colOff>4589318</xdr:colOff>
      <xdr:row>25</xdr:row>
      <xdr:rowOff>189250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262093</xdr:colOff>
      <xdr:row>11</xdr:row>
      <xdr:rowOff>93401</xdr:rowOff>
    </xdr:from>
    <xdr:to>
      <xdr:col>4</xdr:col>
      <xdr:colOff>1536410</xdr:colOff>
      <xdr:row>25</xdr:row>
      <xdr:rowOff>192701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33</xdr:row>
      <xdr:rowOff>91960</xdr:rowOff>
    </xdr:from>
    <xdr:to>
      <xdr:col>1</xdr:col>
      <xdr:colOff>4599567</xdr:colOff>
      <xdr:row>47</xdr:row>
      <xdr:rowOff>191895</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18296</xdr:colOff>
      <xdr:row>33</xdr:row>
      <xdr:rowOff>111627</xdr:rowOff>
    </xdr:from>
    <xdr:to>
      <xdr:col>4</xdr:col>
      <xdr:colOff>1558678</xdr:colOff>
      <xdr:row>47</xdr:row>
      <xdr:rowOff>188866</xdr:rowOff>
    </xdr:to>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55</xdr:row>
      <xdr:rowOff>83891</xdr:rowOff>
    </xdr:from>
    <xdr:to>
      <xdr:col>5</xdr:col>
      <xdr:colOff>0</xdr:colOff>
      <xdr:row>75</xdr:row>
      <xdr:rowOff>147152</xdr:rowOff>
    </xdr:to>
    <mc:AlternateContent xmlns:mc="http://schemas.openxmlformats.org/markup-compatibility/2006">
      <mc:Choice xmlns:cx4="http://schemas.microsoft.com/office/drawing/2016/5/10/chartex" Requires="cx4">
        <xdr:graphicFrame macro="">
          <xdr:nvGraphicFramePr>
            <xdr:cNvPr id="7" name="Chart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0" y="11304341"/>
              <a:ext cx="9848850" cy="4127261"/>
            </a:xfrm>
            <a:prstGeom prst="rect">
              <a:avLst/>
            </a:prstGeom>
            <a:solidFill>
              <a:prstClr val="white"/>
            </a:solidFill>
            <a:ln w="1">
              <a:solidFill>
                <a:prstClr val="green"/>
              </a:solidFill>
            </a:ln>
          </xdr:spPr>
          <xdr:txBody>
            <a:bodyPr vertOverflow="clip" horzOverflow="clip"/>
            <a:lstStyle/>
            <a:p>
              <a:r>
                <a:rPr lang="lv-LV"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114298</xdr:colOff>
      <xdr:row>5</xdr:row>
      <xdr:rowOff>2751</xdr:rowOff>
    </xdr:from>
    <xdr:to>
      <xdr:col>17</xdr:col>
      <xdr:colOff>180975</xdr:colOff>
      <xdr:row>8</xdr:row>
      <xdr:rowOff>102869</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5591173" y="1279101"/>
          <a:ext cx="10410827" cy="84306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00" baseline="0"/>
        </a:p>
        <a:p>
          <a:pPr algn="l"/>
          <a:r>
            <a:rPr lang="lv-LV" sz="900" baseline="0"/>
            <a:t>1. File =&gt; Options =&gt; Formulas =&gt; uzstādīt "Maximum iterations" uz 10000 un "Maximum change" uz 0.000001</a:t>
          </a:r>
          <a:endParaRPr lang="en-US" sz="900" baseline="0"/>
        </a:p>
        <a:p>
          <a:pPr algn="l"/>
          <a:r>
            <a:rPr lang="en-US" sz="900" baseline="0"/>
            <a:t>2. </a:t>
          </a:r>
          <a:r>
            <a:rPr lang="lv-LV" sz="900" baseline="0"/>
            <a:t>Data =&gt; What-if Analyis =&gt; Goal seek</a:t>
          </a:r>
        </a:p>
        <a:p>
          <a:pPr algn="l"/>
          <a:r>
            <a:rPr lang="lv-LV" sz="900" baseline="0"/>
            <a:t>3. Set cell =&gt; C6; To value =&gt; absoluta vērtībā, kā ir C7 šūnā; By changing cell =&gt; Pieņēmumi!D77</a:t>
          </a:r>
        </a:p>
        <a:p>
          <a:pPr algn="l"/>
          <a:endParaRPr lang="lv-LV" sz="900" baseline="0"/>
        </a:p>
        <a:p>
          <a:pPr algn="l"/>
          <a:r>
            <a:rPr lang="lv-LV" sz="900" b="1" baseline="0"/>
            <a:t>Mērķis ir vienādot Attīstītāja peļņu (IRR) ar saprātīgo peļņu (WACC), lai panāktu Deltu vienādu ar 0. Tādējādi, tiks nodrošināta kompensācija, kas ir atbilstoša (vienāda) ar saprātigu peļņu.</a:t>
          </a:r>
          <a:endParaRPr lang="en-GB" sz="900" b="1"/>
        </a:p>
      </xdr:txBody>
    </xdr:sp>
    <xdr:clientData/>
  </xdr:twoCellAnchor>
  <xdr:twoCellAnchor>
    <xdr:from>
      <xdr:col>3</xdr:col>
      <xdr:colOff>8468</xdr:colOff>
      <xdr:row>8</xdr:row>
      <xdr:rowOff>101599</xdr:rowOff>
    </xdr:from>
    <xdr:to>
      <xdr:col>10</xdr:col>
      <xdr:colOff>67735</xdr:colOff>
      <xdr:row>9</xdr:row>
      <xdr:rowOff>160866</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5215468" y="1879599"/>
          <a:ext cx="5232400" cy="313267"/>
        </a:xfrm>
        <a:prstGeom prst="rect">
          <a:avLst/>
        </a:prstGeom>
        <a:solidFill>
          <a:schemeClr val="lt1"/>
        </a:solidFill>
        <a:ln w="9525" cmpd="sng">
          <a:solidFill>
            <a:sysClr val="windowText" lastClr="00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n-GB" sz="1100" b="0" i="1" u="none" strike="noStrike">
              <a:solidFill>
                <a:schemeClr val="dk1"/>
              </a:solidFill>
              <a:effectLst/>
              <a:latin typeface="+mn-lt"/>
              <a:ea typeface="+mn-ea"/>
              <a:cs typeface="+mn-cs"/>
            </a:rPr>
            <a:t>Nepieciešamā kapitāla atlaide no ekspluatācijas nodošanas brīža</a:t>
          </a:r>
          <a:r>
            <a:rPr lang="en-GB" i="1"/>
            <a:t> </a:t>
          </a:r>
          <a:endParaRPr lang="en-GB" sz="1100" i="1"/>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4</xdr:col>
          <xdr:colOff>412750</xdr:colOff>
          <xdr:row>32</xdr:row>
          <xdr:rowOff>196850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46</xdr:row>
          <xdr:rowOff>0</xdr:rowOff>
        </xdr:from>
        <xdr:to>
          <xdr:col>4</xdr:col>
          <xdr:colOff>609600</xdr:colOff>
          <xdr:row>46</xdr:row>
          <xdr:rowOff>222250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58</xdr:row>
          <xdr:rowOff>234950</xdr:rowOff>
        </xdr:from>
        <xdr:to>
          <xdr:col>4</xdr:col>
          <xdr:colOff>615950</xdr:colOff>
          <xdr:row>59</xdr:row>
          <xdr:rowOff>215900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AX\VAL\VSG\LIMITED\Engag%237(DHC%20updates)\DHC%20Updates\Expressco\Exp_Royalty_Analys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ocuments%20and%20Settings\Brian%20l%20Xu\My%20Documents\Clients\DTW%20Logistic\Latest%20Report\Worksheet8-2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bernsone001/Downloads/Capital_IQ_WACC_&amp;_Market_Multiples_Latvia%20real%20estate_30.09.202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sarinec001/Desktop/Project%20Costa/Valuation/Capital%20IQ%20WACC%20template%20v5.1%20-%20Dec%202016%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 Summary-96"/>
      <sheetName val="Print Buttons"/>
      <sheetName val="IS Summary-98"/>
      <sheetName val="IS Hist"/>
      <sheetName val="IS-Hist v. Proj"/>
      <sheetName val="IS Proj-96"/>
      <sheetName val="IS Proj-98"/>
      <sheetName val="BS Summary"/>
      <sheetName val="BS-Hist. v Proj."/>
      <sheetName val="summary"/>
      <sheetName val="Overall Summary"/>
      <sheetName val="PwC reports"/>
      <sheetName val="franchise"/>
      <sheetName val="Sheet1"/>
      <sheetName val="EOP (EBIT)"/>
      <sheetName val="ROA 96 "/>
      <sheetName val="Proj ROA 97"/>
      <sheetName val="royalty savings (midpoint)"/>
      <sheetName val="dcf"/>
      <sheetName val="Mkt Mult"/>
      <sheetName val="dcf '98"/>
      <sheetName val="ROA 97"/>
      <sheetName val="projected ROA"/>
      <sheetName val="royalty savings (low)"/>
      <sheetName val="royalty savings (high)"/>
      <sheetName val="ROA 98"/>
      <sheetName val="ProjROA 99"/>
      <sheetName val="macros"/>
    </sheetNames>
    <sheetDataSet>
      <sheetData sheetId="0" refreshError="1">
        <row r="13">
          <cell r="B13" t="str">
            <v>Net Sales - Per Client's Projections</v>
          </cell>
          <cell r="C13">
            <v>230777.13500000001</v>
          </cell>
          <cell r="E13">
            <v>230777.13500000001</v>
          </cell>
          <cell r="G13">
            <v>1838030</v>
          </cell>
          <cell r="I13">
            <v>1947220</v>
          </cell>
          <cell r="K13">
            <v>1420911</v>
          </cell>
          <cell r="M13">
            <v>1387414</v>
          </cell>
          <cell r="O13">
            <v>1444993</v>
          </cell>
          <cell r="Q13">
            <v>1568620</v>
          </cell>
          <cell r="S13">
            <v>1679471</v>
          </cell>
          <cell r="U13">
            <v>1796493</v>
          </cell>
          <cell r="W13">
            <v>1916522</v>
          </cell>
          <cell r="Y13">
            <v>2030377</v>
          </cell>
          <cell r="AA13">
            <v>2140052</v>
          </cell>
          <cell r="AC13">
            <v>2257147</v>
          </cell>
          <cell r="AE13">
            <v>2370312</v>
          </cell>
          <cell r="AG13">
            <v>2479854</v>
          </cell>
          <cell r="AI13">
            <v>2596010</v>
          </cell>
        </row>
        <row r="15">
          <cell r="B15" t="str">
            <v>Annual Sales Growth Rate - Per Client's Projections</v>
          </cell>
          <cell r="C15" t="str">
            <v>n/a</v>
          </cell>
          <cell r="E15">
            <v>0</v>
          </cell>
          <cell r="G15" t="str">
            <v>n/a</v>
          </cell>
          <cell r="I15">
            <v>5.9405994461461553E-2</v>
          </cell>
          <cell r="M15">
            <v>-2.3574312536112418E-2</v>
          </cell>
          <cell r="O15">
            <v>4.1500950689556282E-2</v>
          </cell>
          <cell r="Q15">
            <v>8.5555431756416889E-2</v>
          </cell>
          <cell r="S15">
            <v>7.0667848172278891E-2</v>
          </cell>
          <cell r="U15">
            <v>6.967789262214108E-2</v>
          </cell>
          <cell r="W15">
            <v>6.6812951678631549E-2</v>
          </cell>
          <cell r="Y15">
            <v>5.9407092639687908E-2</v>
          </cell>
          <cell r="AA15">
            <v>5.4017061856000081E-2</v>
          </cell>
          <cell r="AC15">
            <v>5.4715960172930345E-2</v>
          </cell>
          <cell r="AE15">
            <v>5.0136300382739751E-2</v>
          </cell>
          <cell r="AG15">
            <v>4.6214169273918415E-2</v>
          </cell>
          <cell r="AI15">
            <v>4.6839854281744087E-2</v>
          </cell>
        </row>
        <row r="16">
          <cell r="B16" t="str">
            <v>Compound Annual Sales Growth Rate from 1993</v>
          </cell>
          <cell r="C16" t="str">
            <v>n/a</v>
          </cell>
          <cell r="E16">
            <v>0</v>
          </cell>
          <cell r="G16" t="str">
            <v>n/a</v>
          </cell>
          <cell r="I16">
            <v>5.9405994461461553E-2</v>
          </cell>
          <cell r="M16">
            <v>-2.3574312536112418E-2</v>
          </cell>
          <cell r="O16">
            <v>8.4385364370713756E-3</v>
          </cell>
          <cell r="Q16">
            <v>3.351541177544437E-2</v>
          </cell>
          <cell r="S16">
            <v>4.2680876124043587E-2</v>
          </cell>
          <cell r="U16">
            <v>4.8025212332724498E-2</v>
          </cell>
          <cell r="W16">
            <v>5.113336607765695E-2</v>
          </cell>
          <cell r="Y16">
            <v>5.2311359119681766E-2</v>
          </cell>
          <cell r="AA16">
            <v>5.2524420915166958E-2</v>
          </cell>
          <cell r="AC16">
            <v>5.2767700230557546E-2</v>
          </cell>
          <cell r="AE16">
            <v>5.2504263802330309E-2</v>
          </cell>
          <cell r="AG16">
            <v>5.1930877722867086E-2</v>
          </cell>
          <cell r="AI16">
            <v>5.1505681776583323E-2</v>
          </cell>
        </row>
        <row r="18">
          <cell r="B18" t="str">
            <v>PW Adjusted Net Sales (1)</v>
          </cell>
          <cell r="Q18">
            <v>1568620</v>
          </cell>
          <cell r="S18">
            <v>1679471</v>
          </cell>
          <cell r="U18">
            <v>1796493</v>
          </cell>
          <cell r="W18">
            <v>1916522</v>
          </cell>
          <cell r="Y18">
            <v>2030377</v>
          </cell>
          <cell r="AA18">
            <v>2140052</v>
          </cell>
          <cell r="AC18">
            <v>2257147</v>
          </cell>
          <cell r="AE18">
            <v>2370312</v>
          </cell>
          <cell r="AG18">
            <v>2479854</v>
          </cell>
          <cell r="AI18">
            <v>2596010</v>
          </cell>
        </row>
        <row r="20">
          <cell r="B20" t="str">
            <v>PW Adjusted Sales Growth Rate</v>
          </cell>
          <cell r="Q20">
            <v>8.5555431756416889E-2</v>
          </cell>
          <cell r="S20">
            <v>7.0667848172278891E-2</v>
          </cell>
          <cell r="U20">
            <v>6.967789262214108E-2</v>
          </cell>
          <cell r="W20">
            <v>6.6812951678631549E-2</v>
          </cell>
          <cell r="Y20">
            <v>5.9407092639687908E-2</v>
          </cell>
          <cell r="AA20">
            <v>5.4017061856000081E-2</v>
          </cell>
          <cell r="AC20">
            <v>5.4715960172930345E-2</v>
          </cell>
          <cell r="AE20">
            <v>5.0136300382739751E-2</v>
          </cell>
          <cell r="AG20">
            <v>4.6214169273918415E-2</v>
          </cell>
          <cell r="AI20">
            <v>4.6839854281744087E-2</v>
          </cell>
        </row>
        <row r="22">
          <cell r="B22" t="str">
            <v>Operating Margin (EBIT/Adjusted Sales)</v>
          </cell>
        </row>
        <row r="23">
          <cell r="B23" t="str">
            <v xml:space="preserve">   - Per Client's Projections (before OH)</v>
          </cell>
          <cell r="K23">
            <v>0.11358698750308781</v>
          </cell>
          <cell r="M23">
            <v>0.13223522322825054</v>
          </cell>
          <cell r="O23">
            <v>0.11749999999999999</v>
          </cell>
          <cell r="Q23">
            <v>0.14199999999999999</v>
          </cell>
          <cell r="S23">
            <v>0.14000000000000001</v>
          </cell>
          <cell r="U23">
            <v>0.13800000000000001</v>
          </cell>
          <cell r="W23">
            <v>0.13600000000000001</v>
          </cell>
          <cell r="Y23">
            <v>0.14099999999999999</v>
          </cell>
          <cell r="AA23">
            <v>0.14199999999999999</v>
          </cell>
          <cell r="AC23">
            <v>0.14099999999999999</v>
          </cell>
          <cell r="AE23">
            <v>0.14099999999999999</v>
          </cell>
          <cell r="AG23">
            <v>0.14000000000000001</v>
          </cell>
          <cell r="AI23">
            <v>0.14000000000000001</v>
          </cell>
        </row>
        <row r="25">
          <cell r="B25" t="str">
            <v>PW Adjusted EBIT/Adjusted Sales</v>
          </cell>
          <cell r="Q25">
            <v>0.14199999999999999</v>
          </cell>
          <cell r="S25">
            <v>0.14000000000000001</v>
          </cell>
          <cell r="U25">
            <v>0.13800000000000001</v>
          </cell>
          <cell r="W25">
            <v>0.13600000000000001</v>
          </cell>
          <cell r="Y25">
            <v>0.14099999999999999</v>
          </cell>
          <cell r="AA25">
            <v>0.14099999999999999</v>
          </cell>
          <cell r="AC25">
            <v>0.14099999999999999</v>
          </cell>
        </row>
        <row r="26">
          <cell r="K26" t="str">
            <v xml:space="preserve"> </v>
          </cell>
        </row>
        <row r="27">
          <cell r="B27" t="str">
            <v>Operating Income (EBIT)</v>
          </cell>
          <cell r="C27" t="e">
            <v>#REF!</v>
          </cell>
          <cell r="E27" t="e">
            <v>#REF!</v>
          </cell>
          <cell r="G27">
            <v>386780</v>
          </cell>
          <cell r="I27">
            <v>421550</v>
          </cell>
          <cell r="K27">
            <v>161397</v>
          </cell>
          <cell r="M27">
            <v>183465</v>
          </cell>
          <cell r="O27">
            <v>169747</v>
          </cell>
          <cell r="Q27">
            <v>223098</v>
          </cell>
          <cell r="S27">
            <v>235027</v>
          </cell>
          <cell r="U27">
            <v>247821</v>
          </cell>
          <cell r="W27">
            <v>260981</v>
          </cell>
          <cell r="Y27">
            <v>285404</v>
          </cell>
          <cell r="AA27">
            <v>304268</v>
          </cell>
          <cell r="AC27">
            <v>318055</v>
          </cell>
          <cell r="AE27">
            <v>333106</v>
          </cell>
          <cell r="AG27">
            <v>348093</v>
          </cell>
          <cell r="AI27">
            <v>364364</v>
          </cell>
        </row>
        <row r="28">
          <cell r="B28" t="str">
            <v>less:  Corporate Overhead (2)</v>
          </cell>
          <cell r="K28">
            <v>-14209.11</v>
          </cell>
          <cell r="M28">
            <v>-15261.553999999998</v>
          </cell>
          <cell r="O28">
            <v>-24564.881000000001</v>
          </cell>
          <cell r="Q28">
            <v>-28235</v>
          </cell>
          <cell r="S28">
            <v>-50384</v>
          </cell>
          <cell r="U28">
            <v>-53895</v>
          </cell>
          <cell r="W28">
            <v>-57496</v>
          </cell>
          <cell r="Y28">
            <v>-60911</v>
          </cell>
          <cell r="AA28">
            <v>-64202</v>
          </cell>
          <cell r="AC28">
            <v>-67714</v>
          </cell>
          <cell r="AE28">
            <v>-71109</v>
          </cell>
          <cell r="AG28">
            <v>-74396</v>
          </cell>
          <cell r="AI28">
            <v>-77880</v>
          </cell>
        </row>
        <row r="29">
          <cell r="B29" t="str">
            <v>Adjusted EBIT - After Corporate Overhead Expense</v>
          </cell>
          <cell r="K29">
            <v>147187.89000000001</v>
          </cell>
          <cell r="M29">
            <v>168203.446</v>
          </cell>
          <cell r="O29">
            <v>145182.11900000001</v>
          </cell>
          <cell r="Q29">
            <v>194863</v>
          </cell>
          <cell r="S29">
            <v>184643</v>
          </cell>
          <cell r="U29">
            <v>193926</v>
          </cell>
          <cell r="W29">
            <v>203485</v>
          </cell>
          <cell r="Y29">
            <v>224493</v>
          </cell>
          <cell r="AA29">
            <v>240066</v>
          </cell>
          <cell r="AC29">
            <v>250341</v>
          </cell>
          <cell r="AE29">
            <v>261997</v>
          </cell>
          <cell r="AG29">
            <v>273697</v>
          </cell>
          <cell r="AI29">
            <v>286484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con Data"/>
      <sheetName val="GuidelineCos-IV"/>
      <sheetName val="WACC-V-DTW"/>
      <sheetName val="WACC-FedExDTW"/>
      <sheetName val="Relevered Beta"/>
      <sheetName val="SizePremium"/>
      <sheetName val="PRC Historical Rf"/>
      <sheetName val="HK MRP (Dec 2002)"/>
      <sheetName val="Equity Risk Premium"/>
      <sheetName val="Country Risk"/>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CIQHiddenCacheSheet"/>
      <sheetName val="WACC"/>
      <sheetName val="Unlevered Beta"/>
      <sheetName val="Multiples"/>
      <sheetName val="Damodaran CoE"/>
      <sheetName val="Damodaran ERP"/>
      <sheetName val="Assumptions"/>
      <sheetName val="GPCs_sour"/>
      <sheetName val="Description&amp;Owners"/>
      <sheetName val="GPCs_Trading activity"/>
      <sheetName val="GPCs_IS_Dates"/>
      <sheetName val="Beta_summary"/>
      <sheetName val="Beta_adj"/>
      <sheetName val="CoD"/>
      <sheetName val="WACC "/>
      <sheetName val="Multiples "/>
      <sheetName val="EV"/>
      <sheetName val="Rates"/>
      <sheetName val="Tax rates"/>
      <sheetName val="Beta"/>
      <sheetName val="GPCs_IS_sour"/>
      <sheetName val="GPCs_BS_sour"/>
      <sheetName val="Transactions"/>
      <sheetName val="Margins"/>
      <sheetName val="Ratios"/>
      <sheetName val="Ratios&amp;Growths"/>
      <sheetName val="Dates and currencies"/>
      <sheetName val="Lists"/>
      <sheetName val="GPCs"/>
    </sheetNames>
    <sheetDataSet>
      <sheetData sheetId="0"/>
      <sheetData sheetId="1"/>
      <sheetData sheetId="2"/>
      <sheetData sheetId="3"/>
      <sheetData sheetId="4"/>
      <sheetData sheetId="5"/>
      <sheetData sheetId="6">
        <row r="7">
          <cell r="C7">
            <v>44469</v>
          </cell>
        </row>
        <row r="12">
          <cell r="C12" t="str">
            <v>Latvia</v>
          </cell>
        </row>
        <row r="13">
          <cell r="C13">
            <v>0.2</v>
          </cell>
        </row>
        <row r="15">
          <cell r="C15" t="str">
            <v>Real Estate</v>
          </cell>
        </row>
        <row r="16">
          <cell r="C16" t="str">
            <v>Real Estate (Development)</v>
          </cell>
        </row>
        <row r="23">
          <cell r="C23" t="str">
            <v>EUR</v>
          </cell>
        </row>
        <row r="30">
          <cell r="C30" t="str">
            <v>EUR</v>
          </cell>
        </row>
        <row r="33">
          <cell r="F33" t="str">
            <v>IQ_CY</v>
          </cell>
        </row>
        <row r="34">
          <cell r="F34" t="str">
            <v>IQ_CY</v>
          </cell>
        </row>
        <row r="39">
          <cell r="C39">
            <v>7</v>
          </cell>
        </row>
      </sheetData>
      <sheetData sheetId="7">
        <row r="36">
          <cell r="E36" t="str">
            <v>Acrinova AB (publ)</v>
          </cell>
        </row>
        <row r="37">
          <cell r="E37" t="str">
            <v>Aktiebolaget Fastator (publ)</v>
          </cell>
        </row>
        <row r="38">
          <cell r="E38" t="str">
            <v>Amasten Fastighets AB (publ)</v>
          </cell>
        </row>
        <row r="39">
          <cell r="E39" t="str">
            <v>Artea SA</v>
          </cell>
        </row>
        <row r="40">
          <cell r="E40" t="str">
            <v>Besqab AB (publ)</v>
          </cell>
        </row>
        <row r="41">
          <cell r="E41" t="str">
            <v>Brinova Fastigheter AB (publ)</v>
          </cell>
        </row>
        <row r="42">
          <cell r="E42" t="str">
            <v>ByggPartner i Dalarna Holding AB (publ)</v>
          </cell>
        </row>
        <row r="43">
          <cell r="E43" t="str">
            <v>Countryside Properties PLC</v>
          </cell>
        </row>
        <row r="44">
          <cell r="E44" t="str">
            <v>Elkop SE</v>
          </cell>
        </row>
        <row r="45">
          <cell r="E45" t="str">
            <v>Fastighets AB Trianon (publ)</v>
          </cell>
        </row>
        <row r="46">
          <cell r="E46" t="str">
            <v>Glenveagh Properties PLC</v>
          </cell>
        </row>
        <row r="47">
          <cell r="E47" t="str">
            <v>Heba Fastighets AB (publ)</v>
          </cell>
        </row>
        <row r="48">
          <cell r="E48" t="str">
            <v>Inclusio SA</v>
          </cell>
        </row>
        <row r="49">
          <cell r="E49" t="str">
            <v>JM AB (publ)</v>
          </cell>
        </row>
        <row r="50">
          <cell r="E50" t="str">
            <v>K2A Knaust &amp; Andersson Fastigheter AB (publ)</v>
          </cell>
        </row>
        <row r="51">
          <cell r="E51" t="str">
            <v>K-Fast Holding AB (publ)</v>
          </cell>
        </row>
        <row r="52">
          <cell r="E52" t="str">
            <v>Nischer Properties AB (publ)</v>
          </cell>
        </row>
        <row r="53">
          <cell r="E53" t="str">
            <v>One Heritage Group PLC</v>
          </cell>
        </row>
        <row r="54">
          <cell r="E54" t="str">
            <v>Samhällsbyggnadsbolaget i Norden AB (publ)</v>
          </cell>
        </row>
        <row r="55">
          <cell r="E55" t="str">
            <v>Springfield Properties Plc</v>
          </cell>
        </row>
        <row r="56">
          <cell r="E56" t="str">
            <v>Studentbostäder i Norden AB (publ)</v>
          </cell>
        </row>
        <row r="57">
          <cell r="E57" t="str">
            <v>Swiss Estates AG</v>
          </cell>
        </row>
        <row r="58">
          <cell r="E58" t="str">
            <v>Wästbygg Gruppen AB (publ)</v>
          </cell>
        </row>
        <row r="59">
          <cell r="E59" t="str">
            <v>Watkin Jones Plc</v>
          </cell>
        </row>
        <row r="60">
          <cell r="E60" t="str">
            <v/>
          </cell>
        </row>
      </sheetData>
      <sheetData sheetId="8"/>
      <sheetData sheetId="9"/>
      <sheetData sheetId="10"/>
      <sheetData sheetId="11"/>
      <sheetData sheetId="12"/>
      <sheetData sheetId="13"/>
      <sheetData sheetId="14"/>
      <sheetData sheetId="15"/>
      <sheetData sheetId="16"/>
      <sheetData sheetId="17"/>
      <sheetData sheetId="18">
        <row r="4">
          <cell r="B4" t="str">
            <v>Albania</v>
          </cell>
        </row>
        <row r="5">
          <cell r="B5" t="str">
            <v>Australia</v>
          </cell>
        </row>
        <row r="6">
          <cell r="B6" t="str">
            <v>Austria</v>
          </cell>
        </row>
        <row r="7">
          <cell r="B7" t="str">
            <v>Belarus</v>
          </cell>
        </row>
        <row r="8">
          <cell r="B8" t="str">
            <v>Belgium</v>
          </cell>
        </row>
        <row r="9">
          <cell r="B9" t="str">
            <v>Bosnia and Herzegovina</v>
          </cell>
        </row>
        <row r="10">
          <cell r="B10" t="str">
            <v>Bulgaria</v>
          </cell>
        </row>
        <row r="11">
          <cell r="B11" t="str">
            <v>Canada</v>
          </cell>
        </row>
        <row r="12">
          <cell r="B12" t="str">
            <v>China</v>
          </cell>
        </row>
        <row r="13">
          <cell r="B13" t="str">
            <v>Croatia</v>
          </cell>
        </row>
        <row r="14">
          <cell r="B14" t="str">
            <v>Cyprus</v>
          </cell>
        </row>
        <row r="15">
          <cell r="B15" t="str">
            <v>Czech Republic</v>
          </cell>
        </row>
        <row r="16">
          <cell r="B16" t="str">
            <v>Denmark</v>
          </cell>
        </row>
        <row r="17">
          <cell r="B17" t="str">
            <v>Estonia</v>
          </cell>
        </row>
        <row r="18">
          <cell r="B18" t="str">
            <v>Finland</v>
          </cell>
        </row>
        <row r="19">
          <cell r="B19" t="str">
            <v>France</v>
          </cell>
        </row>
        <row r="20">
          <cell r="B20" t="str">
            <v>Germany</v>
          </cell>
        </row>
        <row r="21">
          <cell r="B21" t="str">
            <v>Greece</v>
          </cell>
        </row>
        <row r="22">
          <cell r="B22" t="str">
            <v>Hungary</v>
          </cell>
        </row>
        <row r="23">
          <cell r="B23" t="str">
            <v>Iceland</v>
          </cell>
        </row>
        <row r="24">
          <cell r="B24" t="str">
            <v>Ireland</v>
          </cell>
        </row>
        <row r="25">
          <cell r="B25" t="str">
            <v>Italy</v>
          </cell>
        </row>
        <row r="26">
          <cell r="B26" t="str">
            <v>Japan</v>
          </cell>
        </row>
        <row r="27">
          <cell r="B27" t="str">
            <v>Kosovo</v>
          </cell>
        </row>
        <row r="28">
          <cell r="B28" t="str">
            <v>Latvia</v>
          </cell>
        </row>
        <row r="29">
          <cell r="B29" t="str">
            <v>Liechtenstein</v>
          </cell>
        </row>
        <row r="30">
          <cell r="B30" t="str">
            <v>Lithuania</v>
          </cell>
        </row>
        <row r="31">
          <cell r="B31" t="str">
            <v>Luxembourg</v>
          </cell>
        </row>
        <row r="32">
          <cell r="B32" t="str">
            <v>Macedonia</v>
          </cell>
        </row>
        <row r="33">
          <cell r="B33" t="str">
            <v>Malta</v>
          </cell>
        </row>
        <row r="34">
          <cell r="B34" t="str">
            <v>Moldova</v>
          </cell>
        </row>
        <row r="35">
          <cell r="B35" t="str">
            <v>Montenegro</v>
          </cell>
        </row>
        <row r="36">
          <cell r="B36" t="str">
            <v>Netherlands</v>
          </cell>
        </row>
        <row r="37">
          <cell r="B37" t="str">
            <v>Norway</v>
          </cell>
        </row>
        <row r="38">
          <cell r="B38" t="str">
            <v>Poland</v>
          </cell>
        </row>
        <row r="39">
          <cell r="B39" t="str">
            <v>Portugal</v>
          </cell>
        </row>
        <row r="40">
          <cell r="B40" t="str">
            <v>Romania</v>
          </cell>
        </row>
        <row r="41">
          <cell r="B41" t="str">
            <v>Russian Federation</v>
          </cell>
        </row>
        <row r="42">
          <cell r="B42" t="str">
            <v>Serbia</v>
          </cell>
        </row>
        <row r="43">
          <cell r="B43" t="str">
            <v>Slovak Republic</v>
          </cell>
        </row>
        <row r="44">
          <cell r="B44" t="str">
            <v>Slovenia</v>
          </cell>
        </row>
        <row r="45">
          <cell r="B45" t="str">
            <v>Spain</v>
          </cell>
        </row>
        <row r="46">
          <cell r="B46" t="str">
            <v>Sweden</v>
          </cell>
        </row>
        <row r="47">
          <cell r="B47" t="str">
            <v>Switzerland</v>
          </cell>
        </row>
        <row r="48">
          <cell r="B48" t="str">
            <v>Turkey</v>
          </cell>
        </row>
        <row r="49">
          <cell r="B49" t="str">
            <v>Ukraine</v>
          </cell>
        </row>
        <row r="50">
          <cell r="B50" t="str">
            <v>United Kingdom</v>
          </cell>
        </row>
        <row r="51">
          <cell r="B51" t="str">
            <v>United States</v>
          </cell>
        </row>
      </sheetData>
      <sheetData sheetId="19"/>
      <sheetData sheetId="20"/>
      <sheetData sheetId="21"/>
      <sheetData sheetId="22"/>
      <sheetData sheetId="23"/>
      <sheetData sheetId="24">
        <row r="4">
          <cell r="D4" t="str">
            <v>yes</v>
          </cell>
        </row>
      </sheetData>
      <sheetData sheetId="25"/>
      <sheetData sheetId="26">
        <row r="13">
          <cell r="B13">
            <v>42735</v>
          </cell>
          <cell r="C13">
            <v>43100</v>
          </cell>
          <cell r="D13">
            <v>43465</v>
          </cell>
          <cell r="E13">
            <v>43830</v>
          </cell>
          <cell r="F13">
            <v>44196</v>
          </cell>
        </row>
        <row r="14">
          <cell r="G14" t="str">
            <v>LTM</v>
          </cell>
        </row>
      </sheetData>
      <sheetData sheetId="27">
        <row r="6">
          <cell r="C6" t="str">
            <v>Dow Jones STOXX 600 Index</v>
          </cell>
        </row>
        <row r="7">
          <cell r="C7" t="str">
            <v>FTSEurofirst 300 Index</v>
          </cell>
        </row>
        <row r="8">
          <cell r="C8" t="str">
            <v>Euronext 100 Index</v>
          </cell>
        </row>
        <row r="9">
          <cell r="C9" t="str">
            <v>Germany DAX Index (Performance)</v>
          </cell>
        </row>
        <row r="10">
          <cell r="C10" t="str">
            <v>FTSE 100 Index</v>
          </cell>
        </row>
        <row r="11">
          <cell r="C11" t="str">
            <v>MSCI Europe</v>
          </cell>
        </row>
        <row r="12">
          <cell r="C12" t="str">
            <v>MSCI Emerging Markets</v>
          </cell>
        </row>
        <row r="13">
          <cell r="C13" t="str">
            <v>MSCI World Index</v>
          </cell>
        </row>
        <row r="14">
          <cell r="C14" t="str">
            <v>S&amp;P Global 1200</v>
          </cell>
        </row>
        <row r="15">
          <cell r="C15" t="str">
            <v>S&amp;P 500 Index</v>
          </cell>
          <cell r="I15" t="str">
            <v>EV</v>
          </cell>
          <cell r="L15" t="str">
            <v>5 years</v>
          </cell>
        </row>
        <row r="16">
          <cell r="C16" t="str">
            <v>Dow Jones Industrial Average</v>
          </cell>
          <cell r="I16" t="str">
            <v>MVIC</v>
          </cell>
          <cell r="L16" t="str">
            <v>5 years + LTM</v>
          </cell>
        </row>
        <row r="17">
          <cell r="C17" t="str">
            <v>MSCI Asia Apex 50</v>
          </cell>
        </row>
        <row r="18">
          <cell r="C18" t="str">
            <v>NIKKEI 225</v>
          </cell>
        </row>
        <row r="19">
          <cell r="C19" t="str">
            <v xml:space="preserve">Hang Seng Index </v>
          </cell>
        </row>
        <row r="20">
          <cell r="C20" t="str">
            <v>S&amp;P/ASX 200 Index</v>
          </cell>
        </row>
      </sheetData>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Developer"/>
      <sheetName val="Base Info"/>
      <sheetName val="RfR Countries"/>
      <sheetName val="Currency list"/>
      <sheetName val="Error check calcs"/>
      <sheetName val="CompsCache"/>
      <sheetName val="Debt beta curve"/>
      <sheetName val="Index"/>
      <sheetName val="Guidance"/>
      <sheetName val="_CIQHiddenCacheSheet"/>
      <sheetName val="Inputs"/>
      <sheetName val="Descriptions"/>
      <sheetName val="Beta"/>
      <sheetName val="Output 1"/>
      <sheetName val="App1"/>
      <sheetName val="App2-CapIQ"/>
      <sheetName val="App2 -SharePriceReg"/>
      <sheetName val="App3"/>
      <sheetName val="App4"/>
      <sheetName val="Output 2"/>
      <sheetName val="RFR_Data"/>
      <sheetName val="CapIQ-Index-unlinked"/>
      <sheetName val="CapIQ-Index"/>
      <sheetName val="CapIQ-FinancialData-unlinked"/>
      <sheetName val="CapIQ-FinancialData"/>
      <sheetName val="CapIQ-MarketData-unlinked"/>
      <sheetName val="CapIQ-Market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4">
          <cell r="C14">
            <v>42521</v>
          </cell>
          <cell r="G14">
            <v>42521</v>
          </cell>
          <cell r="K14">
            <v>42521</v>
          </cell>
          <cell r="O14"/>
          <cell r="S14"/>
          <cell r="W14"/>
          <cell r="AA14"/>
          <cell r="AE14"/>
          <cell r="AI14"/>
          <cell r="AM14"/>
        </row>
        <row r="15">
          <cell r="C15">
            <v>42489</v>
          </cell>
          <cell r="G15">
            <v>42489</v>
          </cell>
          <cell r="K15">
            <v>42489</v>
          </cell>
          <cell r="O15"/>
          <cell r="S15"/>
          <cell r="W15"/>
          <cell r="AA15"/>
          <cell r="AE15"/>
          <cell r="AI15"/>
          <cell r="AM15"/>
        </row>
        <row r="16">
          <cell r="C16">
            <v>42460</v>
          </cell>
          <cell r="G16">
            <v>42460</v>
          </cell>
          <cell r="K16">
            <v>42460</v>
          </cell>
          <cell r="O16"/>
          <cell r="S16"/>
          <cell r="W16"/>
          <cell r="AA16"/>
          <cell r="AE16"/>
          <cell r="AI16"/>
          <cell r="AM16"/>
        </row>
        <row r="17">
          <cell r="C17">
            <v>42429</v>
          </cell>
          <cell r="G17">
            <v>42429</v>
          </cell>
          <cell r="K17">
            <v>42429</v>
          </cell>
          <cell r="O17"/>
          <cell r="S17"/>
          <cell r="W17"/>
          <cell r="AA17"/>
          <cell r="AE17"/>
          <cell r="AI17"/>
          <cell r="AM17"/>
        </row>
        <row r="18">
          <cell r="C18">
            <v>42398</v>
          </cell>
          <cell r="G18">
            <v>42398</v>
          </cell>
          <cell r="K18">
            <v>42398</v>
          </cell>
          <cell r="O18"/>
          <cell r="S18"/>
          <cell r="W18"/>
          <cell r="AA18"/>
          <cell r="AE18"/>
          <cell r="AI18"/>
          <cell r="AM18"/>
        </row>
        <row r="19">
          <cell r="C19">
            <v>42369</v>
          </cell>
          <cell r="G19">
            <v>42369</v>
          </cell>
          <cell r="K19">
            <v>42369</v>
          </cell>
          <cell r="O19"/>
          <cell r="S19"/>
          <cell r="W19"/>
          <cell r="AA19"/>
          <cell r="AE19"/>
          <cell r="AI19"/>
          <cell r="AM19"/>
        </row>
        <row r="20">
          <cell r="C20">
            <v>42338</v>
          </cell>
          <cell r="G20">
            <v>42338</v>
          </cell>
          <cell r="K20">
            <v>42338</v>
          </cell>
          <cell r="O20"/>
          <cell r="S20"/>
          <cell r="W20"/>
          <cell r="AA20"/>
          <cell r="AE20"/>
          <cell r="AI20"/>
          <cell r="AM20"/>
        </row>
        <row r="21">
          <cell r="C21">
            <v>42307</v>
          </cell>
          <cell r="G21">
            <v>42307</v>
          </cell>
          <cell r="K21">
            <v>42307</v>
          </cell>
          <cell r="O21"/>
          <cell r="S21"/>
          <cell r="W21"/>
          <cell r="AA21"/>
          <cell r="AE21"/>
          <cell r="AI21"/>
          <cell r="AM21"/>
        </row>
        <row r="22">
          <cell r="C22">
            <v>42277</v>
          </cell>
          <cell r="G22">
            <v>42277</v>
          </cell>
          <cell r="K22">
            <v>42277</v>
          </cell>
          <cell r="O22"/>
          <cell r="S22"/>
          <cell r="W22"/>
          <cell r="AA22"/>
          <cell r="AE22"/>
          <cell r="AI22"/>
          <cell r="AM22"/>
        </row>
        <row r="23">
          <cell r="C23">
            <v>42244</v>
          </cell>
          <cell r="G23">
            <v>42244</v>
          </cell>
          <cell r="K23">
            <v>42244</v>
          </cell>
          <cell r="O23"/>
          <cell r="S23"/>
          <cell r="W23"/>
          <cell r="AA23"/>
          <cell r="AE23"/>
          <cell r="AI23"/>
          <cell r="AM23"/>
        </row>
        <row r="24">
          <cell r="C24">
            <v>42216</v>
          </cell>
          <cell r="G24">
            <v>42216</v>
          </cell>
          <cell r="K24">
            <v>42216</v>
          </cell>
          <cell r="O24"/>
          <cell r="S24"/>
          <cell r="W24"/>
          <cell r="AA24"/>
          <cell r="AE24"/>
          <cell r="AI24"/>
          <cell r="AM24"/>
        </row>
        <row r="25">
          <cell r="C25">
            <v>42185</v>
          </cell>
          <cell r="G25">
            <v>42185</v>
          </cell>
          <cell r="K25">
            <v>42185</v>
          </cell>
          <cell r="O25"/>
          <cell r="S25"/>
          <cell r="W25"/>
          <cell r="AA25"/>
          <cell r="AE25"/>
          <cell r="AI25"/>
          <cell r="AM25"/>
        </row>
        <row r="26">
          <cell r="C26">
            <v>42153</v>
          </cell>
          <cell r="G26">
            <v>42153</v>
          </cell>
          <cell r="K26">
            <v>42153</v>
          </cell>
          <cell r="O26"/>
          <cell r="S26"/>
          <cell r="W26"/>
          <cell r="AA26"/>
          <cell r="AE26"/>
          <cell r="AI26"/>
          <cell r="AM26"/>
        </row>
        <row r="27">
          <cell r="C27">
            <v>42124</v>
          </cell>
          <cell r="G27">
            <v>42124</v>
          </cell>
          <cell r="K27">
            <v>42124</v>
          </cell>
          <cell r="O27"/>
          <cell r="S27"/>
          <cell r="W27"/>
          <cell r="AA27"/>
          <cell r="AE27"/>
          <cell r="AI27"/>
          <cell r="AM27"/>
        </row>
        <row r="28">
          <cell r="C28">
            <v>42094</v>
          </cell>
          <cell r="G28">
            <v>42094</v>
          </cell>
          <cell r="K28">
            <v>42094</v>
          </cell>
          <cell r="O28"/>
          <cell r="S28"/>
          <cell r="W28"/>
          <cell r="AA28"/>
          <cell r="AE28"/>
          <cell r="AI28"/>
          <cell r="AM28"/>
        </row>
        <row r="29">
          <cell r="C29">
            <v>42062</v>
          </cell>
          <cell r="G29">
            <v>42062</v>
          </cell>
          <cell r="K29">
            <v>42062</v>
          </cell>
          <cell r="O29"/>
          <cell r="S29"/>
          <cell r="W29"/>
          <cell r="AA29"/>
          <cell r="AE29"/>
          <cell r="AI29"/>
          <cell r="AM29"/>
        </row>
        <row r="30">
          <cell r="C30">
            <v>42034</v>
          </cell>
          <cell r="G30">
            <v>42034</v>
          </cell>
          <cell r="K30">
            <v>42034</v>
          </cell>
          <cell r="O30"/>
          <cell r="S30"/>
          <cell r="W30"/>
          <cell r="AA30"/>
          <cell r="AE30"/>
          <cell r="AI30"/>
          <cell r="AM30"/>
        </row>
        <row r="31">
          <cell r="C31">
            <v>42004</v>
          </cell>
          <cell r="G31">
            <v>42004</v>
          </cell>
          <cell r="K31">
            <v>42004</v>
          </cell>
          <cell r="O31"/>
          <cell r="S31"/>
          <cell r="W31"/>
          <cell r="AA31"/>
          <cell r="AE31"/>
          <cell r="AI31"/>
          <cell r="AM31"/>
        </row>
        <row r="32">
          <cell r="C32">
            <v>41971</v>
          </cell>
          <cell r="G32">
            <v>41971</v>
          </cell>
          <cell r="K32">
            <v>41971</v>
          </cell>
          <cell r="O32"/>
          <cell r="S32"/>
          <cell r="W32"/>
          <cell r="AA32"/>
          <cell r="AE32"/>
          <cell r="AI32"/>
          <cell r="AM32"/>
        </row>
        <row r="33">
          <cell r="C33">
            <v>41943</v>
          </cell>
          <cell r="G33">
            <v>41943</v>
          </cell>
          <cell r="K33">
            <v>41943</v>
          </cell>
          <cell r="O33"/>
          <cell r="S33"/>
          <cell r="W33"/>
          <cell r="AA33"/>
          <cell r="AE33"/>
          <cell r="AI33"/>
          <cell r="AM33"/>
        </row>
        <row r="34">
          <cell r="C34">
            <v>41912</v>
          </cell>
          <cell r="G34">
            <v>41912</v>
          </cell>
          <cell r="K34">
            <v>41912</v>
          </cell>
          <cell r="O34"/>
          <cell r="S34"/>
          <cell r="W34"/>
          <cell r="AA34"/>
          <cell r="AE34"/>
          <cell r="AI34"/>
          <cell r="AM34"/>
        </row>
        <row r="35">
          <cell r="C35">
            <v>41880</v>
          </cell>
          <cell r="G35">
            <v>41880</v>
          </cell>
          <cell r="K35">
            <v>41880</v>
          </cell>
          <cell r="O35"/>
          <cell r="S35"/>
          <cell r="W35"/>
          <cell r="AA35"/>
          <cell r="AE35"/>
          <cell r="AI35"/>
          <cell r="AM35"/>
        </row>
        <row r="36">
          <cell r="C36">
            <v>41851</v>
          </cell>
          <cell r="G36">
            <v>41851</v>
          </cell>
          <cell r="K36">
            <v>41851</v>
          </cell>
          <cell r="O36"/>
          <cell r="S36"/>
          <cell r="W36"/>
          <cell r="AA36"/>
          <cell r="AE36"/>
          <cell r="AI36"/>
          <cell r="AM36"/>
        </row>
        <row r="37">
          <cell r="C37">
            <v>41820</v>
          </cell>
          <cell r="G37">
            <v>41820</v>
          </cell>
          <cell r="K37">
            <v>41820</v>
          </cell>
          <cell r="O37"/>
          <cell r="S37"/>
          <cell r="W37"/>
          <cell r="AA37"/>
          <cell r="AE37"/>
          <cell r="AI37"/>
          <cell r="AM37"/>
        </row>
        <row r="38">
          <cell r="C38">
            <v>41789</v>
          </cell>
          <cell r="G38">
            <v>41789</v>
          </cell>
          <cell r="K38">
            <v>41789</v>
          </cell>
          <cell r="O38"/>
          <cell r="S38"/>
          <cell r="W38"/>
          <cell r="AA38"/>
          <cell r="AE38"/>
          <cell r="AI38"/>
          <cell r="AM38"/>
        </row>
        <row r="39">
          <cell r="C39">
            <v>41759</v>
          </cell>
          <cell r="G39">
            <v>41759</v>
          </cell>
          <cell r="K39">
            <v>41759</v>
          </cell>
          <cell r="O39"/>
          <cell r="S39"/>
          <cell r="W39"/>
          <cell r="AA39"/>
          <cell r="AE39"/>
          <cell r="AI39"/>
          <cell r="AM39"/>
        </row>
        <row r="40">
          <cell r="C40">
            <v>41729</v>
          </cell>
          <cell r="G40">
            <v>41729</v>
          </cell>
          <cell r="K40">
            <v>41729</v>
          </cell>
          <cell r="O40"/>
          <cell r="S40"/>
          <cell r="W40"/>
          <cell r="AA40"/>
          <cell r="AE40"/>
          <cell r="AI40"/>
          <cell r="AM40"/>
        </row>
        <row r="41">
          <cell r="C41">
            <v>41698</v>
          </cell>
          <cell r="G41">
            <v>41698</v>
          </cell>
          <cell r="K41">
            <v>41698</v>
          </cell>
          <cell r="O41"/>
          <cell r="S41"/>
          <cell r="W41"/>
          <cell r="AA41"/>
          <cell r="AE41"/>
          <cell r="AI41"/>
          <cell r="AM41"/>
        </row>
        <row r="42">
          <cell r="C42">
            <v>41670</v>
          </cell>
          <cell r="G42">
            <v>41670</v>
          </cell>
          <cell r="K42">
            <v>41670</v>
          </cell>
          <cell r="O42"/>
          <cell r="S42"/>
          <cell r="W42"/>
          <cell r="AA42"/>
          <cell r="AE42"/>
          <cell r="AI42"/>
          <cell r="AM42"/>
        </row>
        <row r="43">
          <cell r="C43">
            <v>41639</v>
          </cell>
          <cell r="G43">
            <v>41639</v>
          </cell>
          <cell r="K43">
            <v>41639</v>
          </cell>
          <cell r="O43"/>
          <cell r="S43"/>
          <cell r="W43"/>
          <cell r="AA43"/>
          <cell r="AE43"/>
          <cell r="AI43"/>
          <cell r="AM43"/>
        </row>
        <row r="44">
          <cell r="C44">
            <v>41607</v>
          </cell>
          <cell r="G44">
            <v>41607</v>
          </cell>
          <cell r="K44">
            <v>41607</v>
          </cell>
          <cell r="O44"/>
          <cell r="S44"/>
          <cell r="W44"/>
          <cell r="AA44"/>
          <cell r="AE44"/>
          <cell r="AI44"/>
          <cell r="AM44"/>
        </row>
        <row r="45">
          <cell r="C45">
            <v>41578</v>
          </cell>
          <cell r="G45">
            <v>41578</v>
          </cell>
          <cell r="K45">
            <v>41578</v>
          </cell>
          <cell r="O45"/>
          <cell r="S45"/>
          <cell r="W45"/>
          <cell r="AA45"/>
          <cell r="AE45"/>
          <cell r="AI45"/>
          <cell r="AM45"/>
        </row>
        <row r="46">
          <cell r="C46">
            <v>41547</v>
          </cell>
          <cell r="G46">
            <v>41547</v>
          </cell>
          <cell r="K46">
            <v>41547</v>
          </cell>
          <cell r="O46"/>
          <cell r="S46"/>
          <cell r="W46"/>
          <cell r="AA46"/>
          <cell r="AE46"/>
          <cell r="AI46"/>
          <cell r="AM46"/>
        </row>
        <row r="47">
          <cell r="C47">
            <v>41516</v>
          </cell>
          <cell r="G47">
            <v>41516</v>
          </cell>
          <cell r="K47">
            <v>41516</v>
          </cell>
          <cell r="O47"/>
          <cell r="S47"/>
          <cell r="W47"/>
          <cell r="AA47"/>
          <cell r="AE47"/>
          <cell r="AI47"/>
          <cell r="AM47"/>
        </row>
        <row r="48">
          <cell r="C48">
            <v>41486</v>
          </cell>
          <cell r="G48">
            <v>41486</v>
          </cell>
          <cell r="K48">
            <v>41486</v>
          </cell>
          <cell r="O48"/>
          <cell r="S48"/>
          <cell r="W48"/>
          <cell r="AA48"/>
          <cell r="AE48"/>
          <cell r="AI48"/>
          <cell r="AM48"/>
        </row>
        <row r="49">
          <cell r="C49">
            <v>41453</v>
          </cell>
          <cell r="G49">
            <v>41453</v>
          </cell>
          <cell r="K49">
            <v>41453</v>
          </cell>
          <cell r="O49"/>
          <cell r="S49"/>
          <cell r="W49"/>
          <cell r="AA49"/>
          <cell r="AE49"/>
          <cell r="AI49"/>
          <cell r="AM49"/>
        </row>
        <row r="50">
          <cell r="C50">
            <v>41425</v>
          </cell>
          <cell r="G50">
            <v>41425</v>
          </cell>
          <cell r="K50">
            <v>41425</v>
          </cell>
          <cell r="O50"/>
          <cell r="S50"/>
          <cell r="W50"/>
          <cell r="AA50"/>
          <cell r="AE50"/>
          <cell r="AI50"/>
          <cell r="AM50"/>
        </row>
        <row r="51">
          <cell r="C51">
            <v>41394</v>
          </cell>
          <cell r="G51">
            <v>41394</v>
          </cell>
          <cell r="K51">
            <v>41394</v>
          </cell>
          <cell r="O51"/>
          <cell r="S51"/>
          <cell r="W51"/>
          <cell r="AA51"/>
          <cell r="AE51"/>
          <cell r="AI51"/>
          <cell r="AM51"/>
        </row>
        <row r="52">
          <cell r="C52">
            <v>41361</v>
          </cell>
          <cell r="G52">
            <v>41361</v>
          </cell>
          <cell r="K52">
            <v>41361</v>
          </cell>
          <cell r="O52"/>
          <cell r="S52"/>
          <cell r="W52"/>
          <cell r="AA52"/>
          <cell r="AE52"/>
          <cell r="AI52"/>
          <cell r="AM52"/>
        </row>
        <row r="53">
          <cell r="C53">
            <v>41333</v>
          </cell>
          <cell r="G53">
            <v>41333</v>
          </cell>
          <cell r="K53">
            <v>41333</v>
          </cell>
          <cell r="O53"/>
          <cell r="S53"/>
          <cell r="W53"/>
          <cell r="AA53"/>
          <cell r="AE53"/>
          <cell r="AI53"/>
          <cell r="AM53"/>
        </row>
        <row r="54">
          <cell r="C54">
            <v>41305</v>
          </cell>
          <cell r="G54">
            <v>41305</v>
          </cell>
          <cell r="K54">
            <v>41305</v>
          </cell>
          <cell r="O54"/>
          <cell r="S54"/>
          <cell r="W54"/>
          <cell r="AA54"/>
          <cell r="AE54"/>
          <cell r="AI54"/>
          <cell r="AM54"/>
        </row>
        <row r="55">
          <cell r="C55">
            <v>41274</v>
          </cell>
          <cell r="G55">
            <v>41274</v>
          </cell>
          <cell r="K55">
            <v>41274</v>
          </cell>
          <cell r="O55"/>
          <cell r="S55"/>
          <cell r="W55"/>
          <cell r="AA55"/>
          <cell r="AE55"/>
          <cell r="AI55"/>
          <cell r="AM55"/>
        </row>
        <row r="56">
          <cell r="C56">
            <v>41243</v>
          </cell>
          <cell r="G56">
            <v>41243</v>
          </cell>
          <cell r="K56">
            <v>41243</v>
          </cell>
          <cell r="O56"/>
          <cell r="S56"/>
          <cell r="W56"/>
          <cell r="AA56"/>
          <cell r="AE56"/>
          <cell r="AI56"/>
          <cell r="AM56"/>
        </row>
        <row r="57">
          <cell r="C57">
            <v>41213</v>
          </cell>
          <cell r="G57">
            <v>41213</v>
          </cell>
          <cell r="K57">
            <v>41213</v>
          </cell>
          <cell r="O57"/>
          <cell r="S57"/>
          <cell r="W57"/>
          <cell r="AA57"/>
          <cell r="AE57"/>
          <cell r="AI57"/>
          <cell r="AM57"/>
        </row>
        <row r="58">
          <cell r="C58">
            <v>41180</v>
          </cell>
          <cell r="G58">
            <v>41180</v>
          </cell>
          <cell r="K58">
            <v>41180</v>
          </cell>
          <cell r="O58"/>
          <cell r="S58"/>
          <cell r="W58"/>
          <cell r="AA58"/>
          <cell r="AE58"/>
          <cell r="AI58"/>
          <cell r="AM58"/>
        </row>
        <row r="59">
          <cell r="C59">
            <v>41152</v>
          </cell>
          <cell r="G59">
            <v>41152</v>
          </cell>
          <cell r="K59">
            <v>41152</v>
          </cell>
          <cell r="O59"/>
          <cell r="S59"/>
          <cell r="W59"/>
          <cell r="AA59"/>
          <cell r="AE59"/>
          <cell r="AI59"/>
          <cell r="AM59"/>
        </row>
        <row r="60">
          <cell r="C60">
            <v>41121</v>
          </cell>
          <cell r="G60">
            <v>41121</v>
          </cell>
          <cell r="K60">
            <v>41121</v>
          </cell>
          <cell r="O60"/>
          <cell r="S60"/>
          <cell r="W60"/>
          <cell r="AA60"/>
          <cell r="AE60"/>
          <cell r="AI60"/>
          <cell r="AM60"/>
        </row>
        <row r="61">
          <cell r="C61">
            <v>41089</v>
          </cell>
          <cell r="G61">
            <v>41089</v>
          </cell>
          <cell r="K61">
            <v>41089</v>
          </cell>
          <cell r="O61"/>
          <cell r="S61"/>
          <cell r="W61"/>
          <cell r="AA61"/>
          <cell r="AE61"/>
          <cell r="AI61"/>
          <cell r="AM61"/>
        </row>
        <row r="62">
          <cell r="C62">
            <v>41060</v>
          </cell>
          <cell r="G62">
            <v>41060</v>
          </cell>
          <cell r="K62">
            <v>41060</v>
          </cell>
          <cell r="O62"/>
          <cell r="S62"/>
          <cell r="W62"/>
          <cell r="AA62"/>
          <cell r="AE62"/>
          <cell r="AI62"/>
          <cell r="AM62"/>
        </row>
        <row r="63">
          <cell r="C63">
            <v>41029</v>
          </cell>
          <cell r="G63">
            <v>41029</v>
          </cell>
          <cell r="K63">
            <v>41029</v>
          </cell>
          <cell r="O63"/>
          <cell r="S63"/>
          <cell r="W63"/>
          <cell r="AA63"/>
          <cell r="AE63"/>
          <cell r="AI63"/>
          <cell r="AM63"/>
        </row>
        <row r="64">
          <cell r="C64">
            <v>40998</v>
          </cell>
          <cell r="G64">
            <v>40998</v>
          </cell>
          <cell r="K64">
            <v>40998</v>
          </cell>
          <cell r="O64"/>
          <cell r="S64"/>
          <cell r="W64"/>
          <cell r="AA64"/>
          <cell r="AE64"/>
          <cell r="AI64"/>
          <cell r="AM64"/>
        </row>
        <row r="65">
          <cell r="C65">
            <v>40968</v>
          </cell>
          <cell r="G65">
            <v>40968</v>
          </cell>
          <cell r="K65">
            <v>40968</v>
          </cell>
          <cell r="O65"/>
          <cell r="S65"/>
          <cell r="W65"/>
          <cell r="AA65"/>
          <cell r="AE65"/>
          <cell r="AI65"/>
          <cell r="AM65"/>
        </row>
        <row r="66">
          <cell r="C66">
            <v>40939</v>
          </cell>
          <cell r="G66">
            <v>40939</v>
          </cell>
          <cell r="K66">
            <v>40939</v>
          </cell>
          <cell r="O66"/>
          <cell r="S66"/>
          <cell r="W66"/>
          <cell r="AA66"/>
          <cell r="AE66"/>
          <cell r="AI66"/>
          <cell r="AM66"/>
        </row>
        <row r="67">
          <cell r="C67">
            <v>40907</v>
          </cell>
          <cell r="G67">
            <v>40907</v>
          </cell>
          <cell r="K67">
            <v>40907</v>
          </cell>
          <cell r="O67"/>
          <cell r="S67"/>
          <cell r="W67"/>
          <cell r="AA67"/>
          <cell r="AE67"/>
          <cell r="AI67"/>
          <cell r="AM67"/>
        </row>
        <row r="68">
          <cell r="C68">
            <v>40877</v>
          </cell>
          <cell r="G68">
            <v>40877</v>
          </cell>
          <cell r="K68">
            <v>40877</v>
          </cell>
          <cell r="O68"/>
          <cell r="S68"/>
          <cell r="W68"/>
          <cell r="AA68"/>
          <cell r="AE68"/>
          <cell r="AI68"/>
          <cell r="AM68"/>
        </row>
        <row r="69">
          <cell r="C69">
            <v>40847</v>
          </cell>
          <cell r="G69">
            <v>40847</v>
          </cell>
          <cell r="K69">
            <v>40847</v>
          </cell>
          <cell r="O69"/>
          <cell r="S69"/>
          <cell r="W69"/>
          <cell r="AA69"/>
          <cell r="AE69"/>
          <cell r="AI69"/>
          <cell r="AM69"/>
        </row>
        <row r="70">
          <cell r="C70">
            <v>40816</v>
          </cell>
          <cell r="G70">
            <v>40816</v>
          </cell>
          <cell r="K70">
            <v>40816</v>
          </cell>
          <cell r="O70"/>
          <cell r="S70"/>
          <cell r="W70"/>
          <cell r="AA70"/>
          <cell r="AE70"/>
          <cell r="AI70"/>
          <cell r="AM70"/>
        </row>
        <row r="71">
          <cell r="C71">
            <v>40786</v>
          </cell>
          <cell r="G71">
            <v>40786</v>
          </cell>
          <cell r="K71">
            <v>40786</v>
          </cell>
          <cell r="O71"/>
          <cell r="S71"/>
          <cell r="W71"/>
          <cell r="AA71"/>
          <cell r="AE71"/>
          <cell r="AI71"/>
          <cell r="AM71"/>
        </row>
        <row r="72">
          <cell r="C72">
            <v>40753</v>
          </cell>
          <cell r="G72">
            <v>40753</v>
          </cell>
          <cell r="K72">
            <v>40753</v>
          </cell>
          <cell r="O72"/>
          <cell r="S72"/>
          <cell r="W72"/>
          <cell r="AA72"/>
          <cell r="AE72"/>
          <cell r="AI72"/>
          <cell r="AM72"/>
        </row>
        <row r="73">
          <cell r="C73">
            <v>40724</v>
          </cell>
          <cell r="G73">
            <v>40724</v>
          </cell>
          <cell r="K73">
            <v>40724</v>
          </cell>
          <cell r="O73"/>
          <cell r="S73"/>
          <cell r="W73"/>
          <cell r="AA73"/>
          <cell r="AE73"/>
          <cell r="AI73"/>
          <cell r="AM73"/>
        </row>
        <row r="74">
          <cell r="C74">
            <v>40694</v>
          </cell>
          <cell r="G74">
            <v>40694</v>
          </cell>
          <cell r="K74">
            <v>40694</v>
          </cell>
          <cell r="O74"/>
          <cell r="S74"/>
          <cell r="W74"/>
          <cell r="AA74"/>
          <cell r="AE74"/>
          <cell r="AI74"/>
          <cell r="AM74"/>
        </row>
        <row r="75">
          <cell r="C75"/>
          <cell r="G75"/>
          <cell r="K75"/>
          <cell r="O75"/>
          <cell r="S75"/>
          <cell r="W75"/>
          <cell r="AA75"/>
          <cell r="AE75"/>
          <cell r="AI75"/>
          <cell r="AM75"/>
        </row>
      </sheetData>
    </sheetDataSet>
  </externalBook>
</externalLink>
</file>

<file path=xl/theme/theme1.xml><?xml version="1.0" encoding="utf-8"?>
<a:theme xmlns:a="http://schemas.openxmlformats.org/drawingml/2006/main" name="Office Theme">
  <a:themeElements>
    <a:clrScheme name="Custom 17">
      <a:dk1>
        <a:srgbClr val="000000"/>
      </a:dk1>
      <a:lt1>
        <a:srgbClr val="FFFFFF"/>
      </a:lt1>
      <a:dk2>
        <a:srgbClr val="464646"/>
      </a:dk2>
      <a:lt2>
        <a:srgbClr val="FFFFFF"/>
      </a:lt2>
      <a:accent1>
        <a:srgbClr val="D04A02"/>
      </a:accent1>
      <a:accent2>
        <a:srgbClr val="FFB600"/>
      </a:accent2>
      <a:accent3>
        <a:srgbClr val="EB8C00"/>
      </a:accent3>
      <a:accent4>
        <a:srgbClr val="DB536A"/>
      </a:accent4>
      <a:accent5>
        <a:srgbClr val="7D7D7D"/>
      </a:accent5>
      <a:accent6>
        <a:srgbClr val="E0301E"/>
      </a:accent6>
      <a:hlink>
        <a:srgbClr val="D04A02"/>
      </a:hlink>
      <a:folHlink>
        <a:srgbClr val="464646"/>
      </a:folHlink>
    </a:clrScheme>
    <a:fontScheme name="Custom 8">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25"/>
  <sheetViews>
    <sheetView showGridLines="0" zoomScale="85" zoomScaleNormal="85" workbookViewId="0">
      <selection activeCell="M18" sqref="M18"/>
    </sheetView>
  </sheetViews>
  <sheetFormatPr defaultColWidth="9" defaultRowHeight="12.5" x14ac:dyDescent="0.25"/>
  <cols>
    <col min="1" max="3" width="9" style="4"/>
    <col min="4" max="4" width="4.6640625" style="4" customWidth="1"/>
    <col min="5" max="5" width="13.4140625" style="4" customWidth="1"/>
    <col min="6" max="16384" width="9" style="4"/>
  </cols>
  <sheetData>
    <row r="1" spans="1:16" x14ac:dyDescent="0.25">
      <c r="A1" s="1"/>
      <c r="B1" s="2"/>
      <c r="C1" s="2"/>
      <c r="D1" s="2"/>
      <c r="E1" s="2"/>
      <c r="F1" s="2"/>
      <c r="G1" s="2"/>
      <c r="H1" s="2"/>
      <c r="I1" s="2"/>
      <c r="J1" s="2"/>
      <c r="K1" s="2"/>
      <c r="L1" s="2"/>
      <c r="M1" s="2"/>
      <c r="N1" s="2"/>
      <c r="O1" s="2"/>
      <c r="P1" s="3"/>
    </row>
    <row r="2" spans="1:16" x14ac:dyDescent="0.25">
      <c r="A2" s="5"/>
      <c r="P2" s="6"/>
    </row>
    <row r="3" spans="1:16" x14ac:dyDescent="0.25">
      <c r="A3" s="5"/>
      <c r="P3" s="6"/>
    </row>
    <row r="4" spans="1:16" x14ac:dyDescent="0.25">
      <c r="A4" s="5"/>
      <c r="P4" s="6"/>
    </row>
    <row r="5" spans="1:16" s="8" customFormat="1" ht="28" x14ac:dyDescent="0.6">
      <c r="A5" s="7"/>
      <c r="D5" s="9"/>
      <c r="E5" s="9"/>
      <c r="F5" s="9"/>
      <c r="G5" s="9"/>
      <c r="H5" s="9"/>
      <c r="I5" s="9"/>
      <c r="J5" s="9"/>
      <c r="K5" s="9"/>
      <c r="L5" s="9"/>
      <c r="M5" s="9"/>
      <c r="P5" s="10"/>
    </row>
    <row r="6" spans="1:16" s="8" customFormat="1" ht="28" x14ac:dyDescent="0.6">
      <c r="A6" s="7"/>
      <c r="D6" s="9"/>
      <c r="E6" s="9"/>
      <c r="F6" s="9"/>
      <c r="G6" s="9"/>
      <c r="H6" s="9"/>
      <c r="I6" s="9"/>
      <c r="J6" s="9"/>
      <c r="K6" s="9"/>
      <c r="L6" s="9"/>
      <c r="M6" s="9"/>
      <c r="P6" s="10"/>
    </row>
    <row r="7" spans="1:16" ht="32.5" x14ac:dyDescent="0.65">
      <c r="A7" s="5"/>
      <c r="B7" s="104" t="s">
        <v>1</v>
      </c>
      <c r="C7" s="11"/>
      <c r="D7" s="11"/>
      <c r="E7" s="11"/>
      <c r="F7" s="11"/>
      <c r="G7" s="11"/>
      <c r="H7" s="11"/>
      <c r="P7" s="6"/>
    </row>
    <row r="8" spans="1:16" x14ac:dyDescent="0.25">
      <c r="A8" s="5"/>
      <c r="B8" s="12"/>
      <c r="C8" s="12"/>
      <c r="D8" s="12"/>
      <c r="E8" s="12"/>
      <c r="F8" s="12"/>
      <c r="G8" s="12"/>
      <c r="H8" s="12"/>
      <c r="P8" s="6"/>
    </row>
    <row r="9" spans="1:16" s="15" customFormat="1" ht="20" x14ac:dyDescent="0.4">
      <c r="A9" s="13"/>
      <c r="B9" s="14" t="s">
        <v>2</v>
      </c>
      <c r="N9" s="16"/>
      <c r="P9" s="17"/>
    </row>
    <row r="10" spans="1:16" s="20" customFormat="1" ht="15.5" x14ac:dyDescent="0.35">
      <c r="A10" s="18"/>
      <c r="B10" s="19" t="s">
        <v>0</v>
      </c>
      <c r="L10" s="21"/>
      <c r="P10" s="22"/>
    </row>
    <row r="11" spans="1:16" s="20" customFormat="1" ht="15.5" x14ac:dyDescent="0.35">
      <c r="A11" s="18"/>
      <c r="P11" s="22"/>
    </row>
    <row r="12" spans="1:16" s="20" customFormat="1" ht="15.5" x14ac:dyDescent="0.35">
      <c r="A12" s="18"/>
      <c r="B12" s="20" t="s">
        <v>221</v>
      </c>
      <c r="P12" s="22"/>
    </row>
    <row r="13" spans="1:16" s="20" customFormat="1" ht="15.5" x14ac:dyDescent="0.35">
      <c r="A13" s="18"/>
      <c r="P13" s="22"/>
    </row>
    <row r="14" spans="1:16" s="20" customFormat="1" ht="15.5" x14ac:dyDescent="0.35">
      <c r="A14" s="18"/>
      <c r="P14" s="22"/>
    </row>
    <row r="15" spans="1:16" s="20" customFormat="1" ht="15.5" x14ac:dyDescent="0.35">
      <c r="A15" s="18"/>
      <c r="D15" s="21"/>
      <c r="O15" s="23"/>
      <c r="P15" s="22"/>
    </row>
    <row r="16" spans="1:16" s="20" customFormat="1" ht="15.5" x14ac:dyDescent="0.35">
      <c r="A16" s="18"/>
      <c r="K16" s="24"/>
      <c r="L16" s="24"/>
      <c r="M16" s="24"/>
      <c r="N16" s="24"/>
      <c r="O16" s="25" t="s">
        <v>289</v>
      </c>
      <c r="P16" s="22"/>
    </row>
    <row r="17" spans="1:16" s="20" customFormat="1" ht="15.5" x14ac:dyDescent="0.35">
      <c r="A17" s="18"/>
      <c r="P17" s="22"/>
    </row>
    <row r="18" spans="1:16" s="20" customFormat="1" ht="15.5" x14ac:dyDescent="0.35">
      <c r="A18" s="18"/>
      <c r="P18" s="22"/>
    </row>
    <row r="19" spans="1:16" s="27" customFormat="1" ht="15.5" x14ac:dyDescent="0.35">
      <c r="A19" s="26"/>
      <c r="B19" s="20"/>
      <c r="C19" s="20"/>
      <c r="D19" s="21"/>
      <c r="E19" s="20"/>
      <c r="F19" s="20"/>
      <c r="G19" s="20"/>
      <c r="H19" s="20"/>
      <c r="I19" s="20"/>
      <c r="J19" s="20"/>
      <c r="K19" s="20"/>
      <c r="L19" s="20"/>
      <c r="M19" s="20"/>
      <c r="N19" s="20"/>
      <c r="P19" s="28"/>
    </row>
    <row r="20" spans="1:16" s="20" customFormat="1" ht="15.5" x14ac:dyDescent="0.35">
      <c r="A20" s="18"/>
      <c r="P20" s="22"/>
    </row>
    <row r="21" spans="1:16" s="20" customFormat="1" ht="15.5" x14ac:dyDescent="0.35">
      <c r="A21" s="18"/>
      <c r="P21" s="22"/>
    </row>
    <row r="22" spans="1:16" x14ac:dyDescent="0.25">
      <c r="A22" s="5"/>
      <c r="P22" s="6"/>
    </row>
    <row r="23" spans="1:16" x14ac:dyDescent="0.25">
      <c r="A23" s="5"/>
      <c r="P23" s="6"/>
    </row>
    <row r="24" spans="1:16" x14ac:dyDescent="0.25">
      <c r="A24" s="5"/>
      <c r="P24" s="6"/>
    </row>
    <row r="25" spans="1:16" x14ac:dyDescent="0.25">
      <c r="A25" s="29"/>
      <c r="B25" s="30"/>
      <c r="C25" s="30"/>
      <c r="D25" s="30"/>
      <c r="E25" s="30"/>
      <c r="F25" s="30"/>
      <c r="G25" s="30"/>
      <c r="H25" s="30"/>
      <c r="I25" s="30"/>
      <c r="J25" s="30"/>
      <c r="K25" s="30"/>
      <c r="L25" s="30"/>
      <c r="M25" s="30"/>
      <c r="N25" s="30"/>
      <c r="O25" s="30"/>
      <c r="P25" s="31"/>
    </row>
  </sheetData>
  <pageMargins left="0.6" right="0.6" top="1" bottom="1" header="0.5" footer="0.5"/>
  <pageSetup orientation="landscape" r:id="rId1"/>
  <headerFooter>
    <oddHeader>&amp;RDraft - Work in Progress</oddHeader>
    <oddFooter>&amp;L&amp;F
&amp;D, &amp;T&amp;C
Page &amp;P of &amp;N&amp;R&amp;A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BF14"/>
  <sheetViews>
    <sheetView showGridLines="0" workbookViewId="0">
      <selection activeCell="K17" sqref="K17"/>
    </sheetView>
  </sheetViews>
  <sheetFormatPr defaultColWidth="8.6640625" defaultRowHeight="12.5" x14ac:dyDescent="0.25"/>
  <cols>
    <col min="1" max="1" width="4.4140625" style="32" customWidth="1"/>
    <col min="2" max="2" width="26.58203125" style="32" customWidth="1"/>
    <col min="3" max="3" width="9.58203125" style="32" customWidth="1"/>
    <col min="4" max="4" width="11.4140625" style="32" customWidth="1"/>
    <col min="5" max="6" width="8.9140625" style="32" customWidth="1"/>
    <col min="7" max="7" width="41.9140625" style="32" customWidth="1"/>
    <col min="8" max="44" width="11.4140625" style="32" customWidth="1"/>
    <col min="45" max="56" width="9.9140625" style="32" customWidth="1"/>
    <col min="57" max="16384" width="8.6640625" style="32"/>
  </cols>
  <sheetData>
    <row r="2" spans="2:58" ht="13" x14ac:dyDescent="0.3">
      <c r="B2" s="40" t="s">
        <v>83</v>
      </c>
      <c r="C2" s="40"/>
    </row>
    <row r="4" spans="2:58" ht="13.25" x14ac:dyDescent="0.25">
      <c r="B4" s="74" t="s">
        <v>84</v>
      </c>
      <c r="C4" s="74"/>
    </row>
    <row r="6" spans="2:58" ht="13" x14ac:dyDescent="0.3">
      <c r="B6" s="32" t="s">
        <v>55</v>
      </c>
      <c r="G6" s="38" t="s">
        <v>90</v>
      </c>
      <c r="H6" s="41">
        <v>3</v>
      </c>
      <c r="I6" s="41">
        <v>4</v>
      </c>
      <c r="J6" s="41">
        <v>5</v>
      </c>
      <c r="K6" s="41">
        <v>6</v>
      </c>
      <c r="L6" s="41">
        <v>7</v>
      </c>
      <c r="M6" s="41">
        <v>8</v>
      </c>
      <c r="N6" s="41">
        <v>9</v>
      </c>
      <c r="O6" s="41">
        <v>10</v>
      </c>
      <c r="P6" s="41">
        <v>11</v>
      </c>
      <c r="Q6" s="41">
        <v>12</v>
      </c>
      <c r="R6" s="41">
        <v>13</v>
      </c>
      <c r="S6" s="41">
        <v>14</v>
      </c>
      <c r="T6" s="41">
        <v>15</v>
      </c>
      <c r="U6" s="41">
        <v>16</v>
      </c>
      <c r="V6" s="41">
        <v>17</v>
      </c>
      <c r="W6" s="41">
        <v>18</v>
      </c>
      <c r="X6" s="41">
        <v>19</v>
      </c>
      <c r="Y6" s="41">
        <v>20</v>
      </c>
      <c r="Z6" s="41">
        <v>21</v>
      </c>
      <c r="AA6" s="41">
        <v>22</v>
      </c>
      <c r="AB6" s="41">
        <v>23</v>
      </c>
      <c r="AC6" s="41">
        <v>24</v>
      </c>
      <c r="AD6" s="41">
        <v>25</v>
      </c>
      <c r="AE6" s="41">
        <v>26</v>
      </c>
      <c r="AF6" s="41">
        <v>27</v>
      </c>
      <c r="AG6" s="41">
        <v>28</v>
      </c>
      <c r="AH6" s="41">
        <v>29</v>
      </c>
      <c r="AI6" s="41">
        <v>30</v>
      </c>
      <c r="AJ6" s="41">
        <v>31</v>
      </c>
      <c r="AK6" s="41">
        <v>32</v>
      </c>
      <c r="AL6" s="41">
        <v>33</v>
      </c>
      <c r="AM6" s="41">
        <v>34</v>
      </c>
      <c r="AN6" s="41">
        <v>35</v>
      </c>
      <c r="AO6" s="41">
        <v>36</v>
      </c>
      <c r="AP6" s="41">
        <v>37</v>
      </c>
      <c r="AQ6" s="41">
        <v>38</v>
      </c>
      <c r="AR6" s="41">
        <v>39</v>
      </c>
      <c r="AS6" s="41">
        <v>40</v>
      </c>
      <c r="AT6" s="41">
        <v>41</v>
      </c>
      <c r="AU6" s="41">
        <v>42</v>
      </c>
      <c r="AV6" s="41">
        <v>43</v>
      </c>
      <c r="AW6" s="41">
        <v>44</v>
      </c>
      <c r="AX6" s="41">
        <v>45</v>
      </c>
      <c r="AY6" s="41">
        <v>46</v>
      </c>
      <c r="AZ6" s="41">
        <v>47</v>
      </c>
      <c r="BA6" s="41">
        <v>48</v>
      </c>
      <c r="BB6" s="41">
        <v>49</v>
      </c>
      <c r="BC6" s="41">
        <v>50</v>
      </c>
    </row>
    <row r="8" spans="2:58" ht="13.25" x14ac:dyDescent="0.25">
      <c r="B8" s="32" t="s">
        <v>85</v>
      </c>
      <c r="C8" s="37" t="s">
        <v>13</v>
      </c>
      <c r="D8" s="75">
        <v>50</v>
      </c>
      <c r="G8" s="32" t="s">
        <v>87</v>
      </c>
      <c r="H8" s="43">
        <f>D9</f>
        <v>1247034.6636000001</v>
      </c>
      <c r="I8" s="43">
        <f>H10</f>
        <v>1222093.9703280001</v>
      </c>
      <c r="J8" s="43">
        <f t="shared" ref="J8:BC8" si="0">I10</f>
        <v>1197153.2770560002</v>
      </c>
      <c r="K8" s="43">
        <f t="shared" si="0"/>
        <v>1172212.5837840002</v>
      </c>
      <c r="L8" s="43">
        <f t="shared" si="0"/>
        <v>1147271.8905120003</v>
      </c>
      <c r="M8" s="43">
        <f t="shared" si="0"/>
        <v>1122331.1972400004</v>
      </c>
      <c r="N8" s="43">
        <f t="shared" si="0"/>
        <v>1097390.5039680004</v>
      </c>
      <c r="O8" s="43">
        <f t="shared" si="0"/>
        <v>1072449.8106960005</v>
      </c>
      <c r="P8" s="43">
        <f t="shared" si="0"/>
        <v>1047509.1174240005</v>
      </c>
      <c r="Q8" s="43">
        <f t="shared" si="0"/>
        <v>1022568.4241520006</v>
      </c>
      <c r="R8" s="43">
        <f t="shared" si="0"/>
        <v>997627.73088000063</v>
      </c>
      <c r="S8" s="43">
        <f t="shared" si="0"/>
        <v>972687.03760800068</v>
      </c>
      <c r="T8" s="43">
        <f t="shared" si="0"/>
        <v>947746.34433600074</v>
      </c>
      <c r="U8" s="43">
        <f t="shared" si="0"/>
        <v>922805.65106400079</v>
      </c>
      <c r="V8" s="43">
        <f t="shared" si="0"/>
        <v>897864.95779200085</v>
      </c>
      <c r="W8" s="43">
        <f t="shared" si="0"/>
        <v>872924.2645200009</v>
      </c>
      <c r="X8" s="43">
        <f t="shared" si="0"/>
        <v>847983.57124800095</v>
      </c>
      <c r="Y8" s="43">
        <f t="shared" si="0"/>
        <v>823042.87797600101</v>
      </c>
      <c r="Z8" s="43">
        <f t="shared" si="0"/>
        <v>798102.18470400106</v>
      </c>
      <c r="AA8" s="43">
        <f t="shared" si="0"/>
        <v>773161.49143200112</v>
      </c>
      <c r="AB8" s="43">
        <f t="shared" si="0"/>
        <v>748220.79816000117</v>
      </c>
      <c r="AC8" s="43">
        <f t="shared" si="0"/>
        <v>723280.10488800122</v>
      </c>
      <c r="AD8" s="43">
        <f t="shared" si="0"/>
        <v>698339.41161600128</v>
      </c>
      <c r="AE8" s="43">
        <f t="shared" si="0"/>
        <v>673398.71834400133</v>
      </c>
      <c r="AF8" s="43">
        <f t="shared" si="0"/>
        <v>648458.02507200139</v>
      </c>
      <c r="AG8" s="43">
        <f t="shared" si="0"/>
        <v>623517.33180000144</v>
      </c>
      <c r="AH8" s="43">
        <f t="shared" si="0"/>
        <v>598576.63852800149</v>
      </c>
      <c r="AI8" s="43">
        <f t="shared" si="0"/>
        <v>573635.94525600155</v>
      </c>
      <c r="AJ8" s="43">
        <f t="shared" si="0"/>
        <v>548695.2519840016</v>
      </c>
      <c r="AK8" s="43">
        <f t="shared" si="0"/>
        <v>523754.5587120016</v>
      </c>
      <c r="AL8" s="43">
        <f t="shared" si="0"/>
        <v>498813.86544000159</v>
      </c>
      <c r="AM8" s="43">
        <f t="shared" si="0"/>
        <v>473873.17216800159</v>
      </c>
      <c r="AN8" s="43">
        <f t="shared" si="0"/>
        <v>448932.47889600159</v>
      </c>
      <c r="AO8" s="43">
        <f t="shared" si="0"/>
        <v>423991.78562400158</v>
      </c>
      <c r="AP8" s="43">
        <f t="shared" si="0"/>
        <v>399051.09235200158</v>
      </c>
      <c r="AQ8" s="43">
        <f t="shared" si="0"/>
        <v>374110.39908000157</v>
      </c>
      <c r="AR8" s="43">
        <f t="shared" si="0"/>
        <v>349169.70580800157</v>
      </c>
      <c r="AS8" s="43">
        <f t="shared" si="0"/>
        <v>324229.01253600157</v>
      </c>
      <c r="AT8" s="43">
        <f t="shared" si="0"/>
        <v>299288.31926400156</v>
      </c>
      <c r="AU8" s="43">
        <f t="shared" si="0"/>
        <v>274347.62599200156</v>
      </c>
      <c r="AV8" s="43">
        <f t="shared" si="0"/>
        <v>249406.93272000155</v>
      </c>
      <c r="AW8" s="43">
        <f t="shared" si="0"/>
        <v>224466.23944800155</v>
      </c>
      <c r="AX8" s="43">
        <f t="shared" si="0"/>
        <v>199525.54617600155</v>
      </c>
      <c r="AY8" s="43">
        <f t="shared" si="0"/>
        <v>174584.85290400154</v>
      </c>
      <c r="AZ8" s="43">
        <f t="shared" si="0"/>
        <v>149644.15963200154</v>
      </c>
      <c r="BA8" s="43">
        <f t="shared" si="0"/>
        <v>124703.46636000153</v>
      </c>
      <c r="BB8" s="43">
        <f t="shared" si="0"/>
        <v>99762.77308800153</v>
      </c>
      <c r="BC8" s="43">
        <f t="shared" si="0"/>
        <v>74822.079816001526</v>
      </c>
      <c r="BD8" s="43">
        <f t="shared" ref="BD8" si="1">BC10</f>
        <v>49881.386544001522</v>
      </c>
      <c r="BE8" s="43">
        <f t="shared" ref="BE8" si="2">BD10</f>
        <v>24940.693272001521</v>
      </c>
      <c r="BF8" s="43"/>
    </row>
    <row r="9" spans="2:58" ht="13.25" x14ac:dyDescent="0.25">
      <c r="B9" s="32" t="s">
        <v>86</v>
      </c>
      <c r="C9" s="37" t="s">
        <v>8</v>
      </c>
      <c r="D9" s="43">
        <f>'Pamatkapitāla ieguldījumi'!E36</f>
        <v>1247034.6636000001</v>
      </c>
      <c r="G9" s="32" t="s">
        <v>88</v>
      </c>
      <c r="H9" s="43">
        <f>$H$8/$D$8</f>
        <v>24940.693272</v>
      </c>
      <c r="I9" s="43">
        <f t="shared" ref="I9:BE9" si="3">$H$8/$D$8</f>
        <v>24940.693272</v>
      </c>
      <c r="J9" s="43">
        <f t="shared" si="3"/>
        <v>24940.693272</v>
      </c>
      <c r="K9" s="43">
        <f t="shared" si="3"/>
        <v>24940.693272</v>
      </c>
      <c r="L9" s="43">
        <f t="shared" si="3"/>
        <v>24940.693272</v>
      </c>
      <c r="M9" s="43">
        <f t="shared" si="3"/>
        <v>24940.693272</v>
      </c>
      <c r="N9" s="43">
        <f t="shared" si="3"/>
        <v>24940.693272</v>
      </c>
      <c r="O9" s="43">
        <f t="shared" si="3"/>
        <v>24940.693272</v>
      </c>
      <c r="P9" s="43">
        <f t="shared" si="3"/>
        <v>24940.693272</v>
      </c>
      <c r="Q9" s="43">
        <f t="shared" si="3"/>
        <v>24940.693272</v>
      </c>
      <c r="R9" s="43">
        <f t="shared" si="3"/>
        <v>24940.693272</v>
      </c>
      <c r="S9" s="43">
        <f t="shared" si="3"/>
        <v>24940.693272</v>
      </c>
      <c r="T9" s="43">
        <f t="shared" si="3"/>
        <v>24940.693272</v>
      </c>
      <c r="U9" s="43">
        <f t="shared" si="3"/>
        <v>24940.693272</v>
      </c>
      <c r="V9" s="43">
        <f t="shared" si="3"/>
        <v>24940.693272</v>
      </c>
      <c r="W9" s="43">
        <f t="shared" si="3"/>
        <v>24940.693272</v>
      </c>
      <c r="X9" s="43">
        <f t="shared" si="3"/>
        <v>24940.693272</v>
      </c>
      <c r="Y9" s="43">
        <f t="shared" si="3"/>
        <v>24940.693272</v>
      </c>
      <c r="Z9" s="43">
        <f t="shared" si="3"/>
        <v>24940.693272</v>
      </c>
      <c r="AA9" s="43">
        <f t="shared" si="3"/>
        <v>24940.693272</v>
      </c>
      <c r="AB9" s="43">
        <f t="shared" si="3"/>
        <v>24940.693272</v>
      </c>
      <c r="AC9" s="43">
        <f t="shared" si="3"/>
        <v>24940.693272</v>
      </c>
      <c r="AD9" s="43">
        <f t="shared" si="3"/>
        <v>24940.693272</v>
      </c>
      <c r="AE9" s="43">
        <f t="shared" si="3"/>
        <v>24940.693272</v>
      </c>
      <c r="AF9" s="43">
        <f t="shared" si="3"/>
        <v>24940.693272</v>
      </c>
      <c r="AG9" s="43">
        <f t="shared" si="3"/>
        <v>24940.693272</v>
      </c>
      <c r="AH9" s="43">
        <f t="shared" si="3"/>
        <v>24940.693272</v>
      </c>
      <c r="AI9" s="43">
        <f t="shared" si="3"/>
        <v>24940.693272</v>
      </c>
      <c r="AJ9" s="43">
        <f t="shared" si="3"/>
        <v>24940.693272</v>
      </c>
      <c r="AK9" s="43">
        <f t="shared" si="3"/>
        <v>24940.693272</v>
      </c>
      <c r="AL9" s="43">
        <f t="shared" si="3"/>
        <v>24940.693272</v>
      </c>
      <c r="AM9" s="43">
        <f t="shared" si="3"/>
        <v>24940.693272</v>
      </c>
      <c r="AN9" s="43">
        <f t="shared" si="3"/>
        <v>24940.693272</v>
      </c>
      <c r="AO9" s="43">
        <f t="shared" si="3"/>
        <v>24940.693272</v>
      </c>
      <c r="AP9" s="43">
        <f t="shared" si="3"/>
        <v>24940.693272</v>
      </c>
      <c r="AQ9" s="43">
        <f t="shared" si="3"/>
        <v>24940.693272</v>
      </c>
      <c r="AR9" s="43">
        <f t="shared" si="3"/>
        <v>24940.693272</v>
      </c>
      <c r="AS9" s="43">
        <f t="shared" si="3"/>
        <v>24940.693272</v>
      </c>
      <c r="AT9" s="43">
        <f t="shared" si="3"/>
        <v>24940.693272</v>
      </c>
      <c r="AU9" s="43">
        <f t="shared" si="3"/>
        <v>24940.693272</v>
      </c>
      <c r="AV9" s="43">
        <f t="shared" si="3"/>
        <v>24940.693272</v>
      </c>
      <c r="AW9" s="43">
        <f t="shared" si="3"/>
        <v>24940.693272</v>
      </c>
      <c r="AX9" s="43">
        <f t="shared" si="3"/>
        <v>24940.693272</v>
      </c>
      <c r="AY9" s="43">
        <f t="shared" si="3"/>
        <v>24940.693272</v>
      </c>
      <c r="AZ9" s="43">
        <f t="shared" si="3"/>
        <v>24940.693272</v>
      </c>
      <c r="BA9" s="43">
        <f t="shared" si="3"/>
        <v>24940.693272</v>
      </c>
      <c r="BB9" s="43">
        <f t="shared" si="3"/>
        <v>24940.693272</v>
      </c>
      <c r="BC9" s="43">
        <f t="shared" si="3"/>
        <v>24940.693272</v>
      </c>
      <c r="BD9" s="43">
        <f t="shared" si="3"/>
        <v>24940.693272</v>
      </c>
      <c r="BE9" s="43">
        <f t="shared" si="3"/>
        <v>24940.693272</v>
      </c>
      <c r="BF9" s="43"/>
    </row>
    <row r="10" spans="2:58" ht="13.25" x14ac:dyDescent="0.25">
      <c r="G10" s="32" t="s">
        <v>89</v>
      </c>
      <c r="H10" s="43">
        <f>H8-H9</f>
        <v>1222093.9703280001</v>
      </c>
      <c r="I10" s="43">
        <f t="shared" ref="I10:BE10" si="4">I8-I9</f>
        <v>1197153.2770560002</v>
      </c>
      <c r="J10" s="43">
        <f t="shared" si="4"/>
        <v>1172212.5837840002</v>
      </c>
      <c r="K10" s="43">
        <f t="shared" si="4"/>
        <v>1147271.8905120003</v>
      </c>
      <c r="L10" s="43">
        <f t="shared" si="4"/>
        <v>1122331.1972400004</v>
      </c>
      <c r="M10" s="43">
        <f t="shared" si="4"/>
        <v>1097390.5039680004</v>
      </c>
      <c r="N10" s="43">
        <f t="shared" si="4"/>
        <v>1072449.8106960005</v>
      </c>
      <c r="O10" s="43">
        <f t="shared" si="4"/>
        <v>1047509.1174240005</v>
      </c>
      <c r="P10" s="43">
        <f t="shared" si="4"/>
        <v>1022568.4241520006</v>
      </c>
      <c r="Q10" s="43">
        <f t="shared" si="4"/>
        <v>997627.73088000063</v>
      </c>
      <c r="R10" s="43">
        <f t="shared" si="4"/>
        <v>972687.03760800068</v>
      </c>
      <c r="S10" s="43">
        <f t="shared" si="4"/>
        <v>947746.34433600074</v>
      </c>
      <c r="T10" s="43">
        <f t="shared" si="4"/>
        <v>922805.65106400079</v>
      </c>
      <c r="U10" s="43">
        <f t="shared" si="4"/>
        <v>897864.95779200085</v>
      </c>
      <c r="V10" s="43">
        <f t="shared" si="4"/>
        <v>872924.2645200009</v>
      </c>
      <c r="W10" s="43">
        <f t="shared" si="4"/>
        <v>847983.57124800095</v>
      </c>
      <c r="X10" s="43">
        <f t="shared" si="4"/>
        <v>823042.87797600101</v>
      </c>
      <c r="Y10" s="43">
        <f t="shared" si="4"/>
        <v>798102.18470400106</v>
      </c>
      <c r="Z10" s="43">
        <f t="shared" si="4"/>
        <v>773161.49143200112</v>
      </c>
      <c r="AA10" s="43">
        <f t="shared" si="4"/>
        <v>748220.79816000117</v>
      </c>
      <c r="AB10" s="43">
        <f t="shared" si="4"/>
        <v>723280.10488800122</v>
      </c>
      <c r="AC10" s="43">
        <f t="shared" si="4"/>
        <v>698339.41161600128</v>
      </c>
      <c r="AD10" s="43">
        <f t="shared" si="4"/>
        <v>673398.71834400133</v>
      </c>
      <c r="AE10" s="43">
        <f t="shared" si="4"/>
        <v>648458.02507200139</v>
      </c>
      <c r="AF10" s="43">
        <f t="shared" si="4"/>
        <v>623517.33180000144</v>
      </c>
      <c r="AG10" s="43">
        <f t="shared" si="4"/>
        <v>598576.63852800149</v>
      </c>
      <c r="AH10" s="43">
        <f t="shared" si="4"/>
        <v>573635.94525600155</v>
      </c>
      <c r="AI10" s="43">
        <f t="shared" si="4"/>
        <v>548695.2519840016</v>
      </c>
      <c r="AJ10" s="43">
        <f t="shared" si="4"/>
        <v>523754.5587120016</v>
      </c>
      <c r="AK10" s="43">
        <f t="shared" si="4"/>
        <v>498813.86544000159</v>
      </c>
      <c r="AL10" s="43">
        <f t="shared" si="4"/>
        <v>473873.17216800159</v>
      </c>
      <c r="AM10" s="43">
        <f t="shared" si="4"/>
        <v>448932.47889600159</v>
      </c>
      <c r="AN10" s="43">
        <f t="shared" si="4"/>
        <v>423991.78562400158</v>
      </c>
      <c r="AO10" s="43">
        <f t="shared" si="4"/>
        <v>399051.09235200158</v>
      </c>
      <c r="AP10" s="43">
        <f t="shared" si="4"/>
        <v>374110.39908000157</v>
      </c>
      <c r="AQ10" s="43">
        <f t="shared" si="4"/>
        <v>349169.70580800157</v>
      </c>
      <c r="AR10" s="43">
        <f t="shared" si="4"/>
        <v>324229.01253600157</v>
      </c>
      <c r="AS10" s="43">
        <f t="shared" si="4"/>
        <v>299288.31926400156</v>
      </c>
      <c r="AT10" s="43">
        <f t="shared" si="4"/>
        <v>274347.62599200156</v>
      </c>
      <c r="AU10" s="43">
        <f t="shared" si="4"/>
        <v>249406.93272000155</v>
      </c>
      <c r="AV10" s="43">
        <f t="shared" si="4"/>
        <v>224466.23944800155</v>
      </c>
      <c r="AW10" s="43">
        <f t="shared" si="4"/>
        <v>199525.54617600155</v>
      </c>
      <c r="AX10" s="43">
        <f t="shared" si="4"/>
        <v>174584.85290400154</v>
      </c>
      <c r="AY10" s="43">
        <f t="shared" si="4"/>
        <v>149644.15963200154</v>
      </c>
      <c r="AZ10" s="43">
        <f t="shared" si="4"/>
        <v>124703.46636000153</v>
      </c>
      <c r="BA10" s="43">
        <f t="shared" si="4"/>
        <v>99762.77308800153</v>
      </c>
      <c r="BB10" s="43">
        <f t="shared" si="4"/>
        <v>74822.079816001526</v>
      </c>
      <c r="BC10" s="43">
        <f t="shared" si="4"/>
        <v>49881.386544001522</v>
      </c>
      <c r="BD10" s="43">
        <f t="shared" si="4"/>
        <v>24940.693272001521</v>
      </c>
      <c r="BE10" s="43">
        <f t="shared" si="4"/>
        <v>1.520675141364336E-9</v>
      </c>
      <c r="BF10" s="43"/>
    </row>
    <row r="11" spans="2:58" ht="13.25" x14ac:dyDescent="0.25">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row>
    <row r="12" spans="2:58" ht="13.25" x14ac:dyDescent="0.25">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row>
    <row r="13" spans="2:58" ht="13.25" x14ac:dyDescent="0.25">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row>
    <row r="14" spans="2:58" ht="13.25" x14ac:dyDescent="0.25">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P82"/>
  <sheetViews>
    <sheetView showGridLines="0" zoomScale="70" zoomScaleNormal="70" workbookViewId="0">
      <selection activeCell="A2" sqref="A2:K4"/>
    </sheetView>
  </sheetViews>
  <sheetFormatPr defaultColWidth="8.6640625" defaultRowHeight="12.5" x14ac:dyDescent="0.25"/>
  <cols>
    <col min="1" max="1" width="3.9140625" style="44" customWidth="1"/>
    <col min="2" max="2" width="60.58203125" style="44" customWidth="1"/>
    <col min="3" max="3" width="3.58203125" style="51" customWidth="1"/>
    <col min="4" max="4" width="40.58203125" style="52" customWidth="1"/>
    <col min="5" max="5" width="20.58203125" style="44" customWidth="1"/>
    <col min="6" max="6" width="3.58203125" style="44" customWidth="1"/>
    <col min="7" max="7" width="25.58203125" style="44" customWidth="1"/>
    <col min="8" max="8" width="49.5" style="44" customWidth="1"/>
    <col min="9" max="9" width="3.58203125" style="44" customWidth="1"/>
    <col min="10" max="10" width="21.08203125" style="44" customWidth="1"/>
    <col min="11" max="11" width="8.1640625" style="44" customWidth="1"/>
    <col min="12" max="16384" width="8.6640625" style="44"/>
  </cols>
  <sheetData>
    <row r="1" spans="1:16" ht="20" customHeight="1" x14ac:dyDescent="0.25">
      <c r="C1" s="44"/>
      <c r="D1" s="44"/>
      <c r="L1" s="82"/>
      <c r="M1" s="82"/>
      <c r="N1" s="82"/>
    </row>
    <row r="2" spans="1:16" ht="16.25" customHeight="1" x14ac:dyDescent="0.25">
      <c r="A2" s="351" t="s">
        <v>108</v>
      </c>
      <c r="B2" s="351"/>
      <c r="C2" s="351"/>
      <c r="D2" s="351"/>
      <c r="E2" s="351"/>
      <c r="F2" s="351"/>
      <c r="G2" s="351"/>
      <c r="H2" s="351"/>
      <c r="I2" s="351"/>
      <c r="J2" s="351"/>
      <c r="K2" s="351"/>
      <c r="L2" s="83"/>
      <c r="M2" s="83"/>
      <c r="N2" s="83"/>
    </row>
    <row r="3" spans="1:16" ht="16.25" customHeight="1" x14ac:dyDescent="0.25">
      <c r="A3" s="351"/>
      <c r="B3" s="351"/>
      <c r="C3" s="351"/>
      <c r="D3" s="351"/>
      <c r="E3" s="351"/>
      <c r="F3" s="351"/>
      <c r="G3" s="351"/>
      <c r="H3" s="351"/>
      <c r="I3" s="351"/>
      <c r="J3" s="351"/>
      <c r="K3" s="351"/>
      <c r="L3" s="83"/>
      <c r="M3" s="83"/>
      <c r="N3" s="83"/>
    </row>
    <row r="4" spans="1:16" ht="16.25" customHeight="1" thickBot="1" x14ac:dyDescent="0.3">
      <c r="A4" s="352"/>
      <c r="B4" s="352"/>
      <c r="C4" s="352"/>
      <c r="D4" s="352"/>
      <c r="E4" s="352"/>
      <c r="F4" s="352"/>
      <c r="G4" s="352"/>
      <c r="H4" s="352"/>
      <c r="I4" s="352"/>
      <c r="J4" s="352"/>
      <c r="K4" s="352"/>
      <c r="L4" s="83"/>
      <c r="M4" s="83"/>
      <c r="N4" s="83"/>
    </row>
    <row r="5" spans="1:16" ht="16.25" customHeight="1" x14ac:dyDescent="0.25">
      <c r="A5" s="86"/>
      <c r="B5" s="86"/>
      <c r="C5" s="86"/>
      <c r="D5" s="86"/>
      <c r="E5" s="86"/>
      <c r="F5" s="86"/>
      <c r="G5" s="86"/>
      <c r="H5" s="86"/>
      <c r="I5" s="86"/>
      <c r="J5" s="86"/>
      <c r="K5" s="86"/>
      <c r="L5" s="82"/>
      <c r="M5" s="82"/>
      <c r="N5" s="82"/>
    </row>
    <row r="6" spans="1:16" ht="16.25" customHeight="1" x14ac:dyDescent="0.25">
      <c r="A6" s="86"/>
      <c r="B6" s="87"/>
      <c r="C6" s="86"/>
      <c r="D6" s="87"/>
      <c r="E6" s="86"/>
      <c r="F6" s="86"/>
      <c r="G6" s="86"/>
      <c r="H6" s="86"/>
      <c r="I6" s="86"/>
      <c r="J6" s="86"/>
      <c r="K6" s="86"/>
      <c r="L6" s="82"/>
      <c r="M6" s="82"/>
      <c r="N6" s="82"/>
    </row>
    <row r="7" spans="1:16" ht="16.25" customHeight="1" x14ac:dyDescent="0.25">
      <c r="A7" s="86"/>
      <c r="B7" s="86"/>
      <c r="C7" s="86"/>
      <c r="D7" s="86"/>
      <c r="E7" s="86"/>
      <c r="F7" s="86"/>
      <c r="G7" s="86"/>
      <c r="H7" s="86"/>
      <c r="I7" s="86"/>
      <c r="J7" s="86"/>
      <c r="K7" s="86"/>
      <c r="L7" s="82"/>
      <c r="M7" s="82"/>
      <c r="N7" s="82"/>
      <c r="P7" s="81"/>
    </row>
    <row r="8" spans="1:16" s="64" customFormat="1" ht="16.25" customHeight="1" x14ac:dyDescent="0.3">
      <c r="A8" s="348" t="s">
        <v>145</v>
      </c>
      <c r="B8" s="348"/>
      <c r="C8" s="105"/>
      <c r="D8" s="349" t="s">
        <v>273</v>
      </c>
      <c r="E8" s="349"/>
      <c r="F8" s="105"/>
      <c r="G8" s="86"/>
      <c r="H8" s="86"/>
      <c r="I8" s="86"/>
      <c r="J8" s="86"/>
      <c r="K8" s="86"/>
      <c r="L8" s="86"/>
      <c r="M8" s="33"/>
      <c r="N8" s="33"/>
      <c r="P8" s="84"/>
    </row>
    <row r="9" spans="1:16" s="64" customFormat="1" ht="16.25" customHeight="1" x14ac:dyDescent="0.3">
      <c r="A9" s="348"/>
      <c r="B9" s="348"/>
      <c r="C9" s="105"/>
      <c r="D9" s="349"/>
      <c r="E9" s="349"/>
      <c r="F9" s="105"/>
      <c r="G9" s="86"/>
      <c r="H9" s="86"/>
      <c r="I9" s="86"/>
      <c r="J9" s="86"/>
      <c r="K9" s="86"/>
      <c r="L9" s="86"/>
    </row>
    <row r="10" spans="1:16" ht="16.25" customHeight="1" x14ac:dyDescent="0.25">
      <c r="A10" s="347">
        <f>'Pamatkapitāla ieguldījumi'!E39+'Pamatkapitāla ieguldījumi'!E38</f>
        <v>1247034.6636000001</v>
      </c>
      <c r="B10" s="347"/>
      <c r="C10" s="106"/>
      <c r="D10" s="347">
        <f>'Pamatkapitāla ieguldījumi'!E36/Pieņēmumi!D14</f>
        <v>1091.4199999999998</v>
      </c>
      <c r="E10" s="347"/>
      <c r="F10" s="106"/>
      <c r="G10" s="86"/>
      <c r="H10" s="86"/>
      <c r="I10" s="86"/>
      <c r="J10" s="86"/>
      <c r="K10" s="86"/>
      <c r="L10" s="86"/>
    </row>
    <row r="11" spans="1:16" ht="16.25" customHeight="1" x14ac:dyDescent="0.25">
      <c r="A11" s="347"/>
      <c r="B11" s="347"/>
      <c r="C11" s="106"/>
      <c r="D11" s="347"/>
      <c r="E11" s="347"/>
      <c r="F11" s="106"/>
      <c r="G11" s="86"/>
      <c r="H11" s="86"/>
      <c r="I11" s="86"/>
      <c r="J11" s="86"/>
      <c r="K11" s="86"/>
      <c r="L11" s="86"/>
    </row>
    <row r="12" spans="1:16" ht="16.25" customHeight="1" x14ac:dyDescent="0.35">
      <c r="A12" s="107"/>
      <c r="B12" s="107"/>
      <c r="C12" s="107"/>
      <c r="D12" s="108" t="s">
        <v>50</v>
      </c>
      <c r="E12" s="109">
        <f>'Pamatkapitāla ieguldījumi'!E38</f>
        <v>950626.56</v>
      </c>
      <c r="F12" s="107"/>
      <c r="G12" s="86"/>
      <c r="H12" s="86"/>
      <c r="I12" s="86"/>
      <c r="J12" s="86"/>
      <c r="K12" s="86"/>
      <c r="L12" s="86"/>
    </row>
    <row r="13" spans="1:16" ht="16.25" customHeight="1" x14ac:dyDescent="0.35">
      <c r="A13" s="107"/>
      <c r="B13" s="107"/>
      <c r="C13" s="107"/>
      <c r="D13" s="108" t="s">
        <v>110</v>
      </c>
      <c r="E13" s="109">
        <f>'Pamatkapitāla ieguldījumi'!E39</f>
        <v>296408.10360000003</v>
      </c>
      <c r="F13" s="107"/>
      <c r="G13" s="86"/>
      <c r="H13" s="86"/>
      <c r="I13" s="86"/>
      <c r="J13" s="86"/>
      <c r="K13" s="86"/>
      <c r="L13" s="86"/>
    </row>
    <row r="14" spans="1:16" ht="16.25" customHeight="1" x14ac:dyDescent="0.35">
      <c r="A14" s="107"/>
      <c r="B14" s="107"/>
      <c r="C14" s="107"/>
      <c r="D14" s="108" t="s">
        <v>146</v>
      </c>
      <c r="E14" s="108">
        <f>E12/Pieņēmumi!D14</f>
        <v>831.99999999999989</v>
      </c>
      <c r="F14" s="107"/>
      <c r="G14" s="86"/>
      <c r="H14" s="86"/>
      <c r="I14" s="86"/>
      <c r="J14" s="86"/>
      <c r="K14" s="86"/>
      <c r="L14" s="86"/>
    </row>
    <row r="15" spans="1:16" ht="16.25" customHeight="1" x14ac:dyDescent="0.35">
      <c r="A15" s="107"/>
      <c r="B15" s="107"/>
      <c r="C15" s="107"/>
      <c r="D15" s="108" t="s">
        <v>111</v>
      </c>
      <c r="E15" s="108">
        <f>E13/Pieņēmumi!D14</f>
        <v>259.42</v>
      </c>
      <c r="F15" s="107"/>
      <c r="G15" s="86"/>
      <c r="H15" s="86"/>
      <c r="I15" s="86"/>
      <c r="J15" s="86"/>
      <c r="K15" s="86"/>
      <c r="L15" s="86"/>
    </row>
    <row r="16" spans="1:16" ht="16.25" customHeight="1" x14ac:dyDescent="0.25">
      <c r="A16" s="86"/>
      <c r="B16" s="86"/>
      <c r="C16" s="86"/>
      <c r="D16" s="86"/>
      <c r="E16" s="86"/>
      <c r="F16" s="86"/>
      <c r="G16" s="86"/>
      <c r="H16" s="86"/>
      <c r="I16" s="86"/>
      <c r="J16" s="86"/>
      <c r="K16" s="86"/>
      <c r="L16" s="86"/>
    </row>
    <row r="17" spans="1:12" ht="16.25" customHeight="1" x14ac:dyDescent="0.25">
      <c r="A17" s="86"/>
      <c r="B17" s="86"/>
      <c r="C17" s="86"/>
      <c r="D17" s="86"/>
      <c r="E17" s="86"/>
      <c r="F17" s="86"/>
      <c r="G17" s="86"/>
      <c r="H17" s="86"/>
      <c r="I17" s="86"/>
      <c r="J17" s="86"/>
      <c r="K17" s="86"/>
      <c r="L17" s="86"/>
    </row>
    <row r="18" spans="1:12" ht="16.25" customHeight="1" x14ac:dyDescent="0.25">
      <c r="A18" s="86"/>
      <c r="B18" s="86"/>
      <c r="C18" s="92"/>
      <c r="D18" s="93"/>
      <c r="E18" s="86"/>
      <c r="F18" s="86"/>
      <c r="G18" s="86"/>
      <c r="H18" s="86"/>
      <c r="I18" s="86"/>
      <c r="J18" s="86"/>
      <c r="K18" s="86"/>
    </row>
    <row r="19" spans="1:12" ht="16.25" customHeight="1" x14ac:dyDescent="0.25">
      <c r="A19" s="86"/>
      <c r="B19" s="86"/>
      <c r="C19" s="92"/>
      <c r="D19" s="93"/>
      <c r="E19" s="86"/>
      <c r="F19" s="86"/>
      <c r="G19" s="86"/>
      <c r="H19" s="86"/>
      <c r="I19" s="86"/>
      <c r="J19" s="86"/>
      <c r="K19" s="86"/>
    </row>
    <row r="20" spans="1:12" ht="16.25" customHeight="1" x14ac:dyDescent="0.25">
      <c r="A20" s="86"/>
      <c r="B20" s="86"/>
      <c r="C20" s="92"/>
      <c r="D20" s="93"/>
      <c r="E20" s="86"/>
      <c r="F20" s="86"/>
      <c r="G20" s="86"/>
      <c r="H20" s="86"/>
      <c r="I20" s="86"/>
      <c r="J20" s="86"/>
      <c r="K20" s="86"/>
    </row>
    <row r="21" spans="1:12" ht="16.25" customHeight="1" x14ac:dyDescent="0.25">
      <c r="A21" s="86"/>
      <c r="B21" s="86"/>
      <c r="C21" s="92"/>
      <c r="D21" s="93"/>
      <c r="E21" s="86"/>
      <c r="F21" s="86"/>
      <c r="G21" s="86"/>
      <c r="H21" s="86"/>
      <c r="I21" s="86"/>
      <c r="J21" s="86"/>
      <c r="K21" s="86"/>
    </row>
    <row r="22" spans="1:12" ht="16.25" customHeight="1" x14ac:dyDescent="0.25">
      <c r="A22" s="86"/>
      <c r="B22" s="86"/>
      <c r="C22" s="92"/>
      <c r="D22" s="93"/>
      <c r="E22" s="86"/>
      <c r="F22" s="86"/>
      <c r="G22" s="86"/>
      <c r="H22" s="86"/>
      <c r="I22" s="86"/>
      <c r="J22" s="86"/>
      <c r="K22" s="86"/>
    </row>
    <row r="23" spans="1:12" ht="16.25" customHeight="1" x14ac:dyDescent="0.25">
      <c r="A23" s="86"/>
      <c r="B23" s="86"/>
      <c r="C23" s="92"/>
      <c r="D23" s="93"/>
      <c r="E23" s="86"/>
      <c r="F23" s="86"/>
      <c r="G23" s="86"/>
      <c r="H23" s="86"/>
      <c r="I23" s="86"/>
      <c r="J23" s="86"/>
      <c r="K23" s="86"/>
    </row>
    <row r="24" spans="1:12" ht="16.25" customHeight="1" x14ac:dyDescent="0.25">
      <c r="A24" s="86"/>
      <c r="B24" s="86"/>
      <c r="C24" s="92"/>
      <c r="D24" s="93"/>
      <c r="E24" s="86"/>
      <c r="F24" s="86"/>
      <c r="G24" s="86"/>
      <c r="H24" s="86"/>
      <c r="I24" s="86"/>
      <c r="J24" s="86"/>
      <c r="K24" s="86"/>
    </row>
    <row r="25" spans="1:12" ht="16.25" customHeight="1" x14ac:dyDescent="0.25">
      <c r="A25" s="86"/>
      <c r="B25" s="86"/>
      <c r="C25" s="92"/>
      <c r="D25" s="93"/>
      <c r="E25" s="86"/>
      <c r="F25" s="86"/>
      <c r="G25" s="86"/>
      <c r="H25" s="86"/>
      <c r="I25" s="86"/>
      <c r="J25" s="86"/>
      <c r="K25" s="86"/>
    </row>
    <row r="26" spans="1:12" ht="16.25" customHeight="1" x14ac:dyDescent="0.25">
      <c r="A26" s="86"/>
      <c r="B26" s="86"/>
      <c r="C26" s="92"/>
      <c r="D26" s="93"/>
      <c r="E26" s="86"/>
      <c r="F26" s="86"/>
      <c r="G26" s="86"/>
      <c r="H26" s="86"/>
      <c r="I26" s="86"/>
      <c r="J26" s="86"/>
      <c r="K26" s="86"/>
    </row>
    <row r="27" spans="1:12" ht="16.25" customHeight="1" x14ac:dyDescent="0.25">
      <c r="A27" s="86"/>
      <c r="B27" s="86"/>
      <c r="C27" s="92"/>
      <c r="D27" s="93"/>
      <c r="E27" s="86"/>
      <c r="F27" s="86"/>
      <c r="G27" s="86"/>
      <c r="H27" s="86"/>
      <c r="I27" s="86"/>
      <c r="J27" s="86"/>
      <c r="K27" s="86"/>
    </row>
    <row r="28" spans="1:12" ht="16.25" customHeight="1" x14ac:dyDescent="0.25">
      <c r="A28" s="351" t="s">
        <v>22</v>
      </c>
      <c r="B28" s="351"/>
      <c r="C28" s="351"/>
      <c r="D28" s="351"/>
      <c r="E28" s="351"/>
      <c r="F28" s="351"/>
      <c r="G28" s="351"/>
      <c r="H28" s="351"/>
      <c r="I28" s="351"/>
      <c r="J28" s="351"/>
      <c r="K28" s="351"/>
    </row>
    <row r="29" spans="1:12" ht="16.25" customHeight="1" x14ac:dyDescent="0.25">
      <c r="A29" s="351"/>
      <c r="B29" s="351"/>
      <c r="C29" s="351"/>
      <c r="D29" s="351"/>
      <c r="E29" s="351"/>
      <c r="F29" s="351"/>
      <c r="G29" s="351"/>
      <c r="H29" s="351"/>
      <c r="I29" s="351"/>
      <c r="J29" s="351"/>
      <c r="K29" s="351"/>
    </row>
    <row r="30" spans="1:12" ht="16.25" customHeight="1" thickBot="1" x14ac:dyDescent="0.3">
      <c r="A30" s="352"/>
      <c r="B30" s="352"/>
      <c r="C30" s="352"/>
      <c r="D30" s="352"/>
      <c r="E30" s="352"/>
      <c r="F30" s="352"/>
      <c r="G30" s="352"/>
      <c r="H30" s="352"/>
      <c r="I30" s="352"/>
      <c r="J30" s="352"/>
      <c r="K30" s="352"/>
    </row>
    <row r="31" spans="1:12" ht="16.25" customHeight="1" x14ac:dyDescent="0.25">
      <c r="A31" s="86"/>
      <c r="B31" s="86"/>
      <c r="C31" s="92"/>
      <c r="D31" s="86"/>
      <c r="E31" s="86"/>
      <c r="F31" s="86"/>
      <c r="G31" s="86"/>
      <c r="H31" s="86"/>
      <c r="I31" s="86"/>
      <c r="J31" s="86"/>
      <c r="K31" s="86"/>
    </row>
    <row r="32" spans="1:12" s="64" customFormat="1" ht="16.25" customHeight="1" x14ac:dyDescent="0.3">
      <c r="A32" s="349" t="s">
        <v>134</v>
      </c>
      <c r="B32" s="349"/>
      <c r="C32" s="88"/>
      <c r="D32" s="348" t="s">
        <v>129</v>
      </c>
      <c r="E32" s="348"/>
      <c r="F32" s="88"/>
      <c r="G32" s="349" t="s">
        <v>128</v>
      </c>
      <c r="H32" s="349"/>
      <c r="I32" s="89"/>
      <c r="J32" s="110"/>
      <c r="K32" s="110"/>
    </row>
    <row r="33" spans="1:11" s="64" customFormat="1" ht="15.65" customHeight="1" x14ac:dyDescent="0.3">
      <c r="A33" s="349"/>
      <c r="B33" s="349"/>
      <c r="C33" s="88"/>
      <c r="D33" s="348"/>
      <c r="E33" s="348"/>
      <c r="F33" s="88"/>
      <c r="G33" s="349"/>
      <c r="H33" s="349"/>
      <c r="I33" s="89"/>
      <c r="J33" s="110"/>
      <c r="K33" s="110"/>
    </row>
    <row r="34" spans="1:11" ht="16.25" customHeight="1" x14ac:dyDescent="0.25">
      <c r="A34" s="350"/>
      <c r="B34" s="350"/>
      <c r="C34" s="90"/>
      <c r="D34" s="350"/>
      <c r="E34" s="350"/>
      <c r="F34" s="90"/>
      <c r="G34" s="347">
        <f>-HLOOKUP(ROUNDUP(Pieņēmumi!D53,0)+1,'Naudas plūsma'!3:11,9)-HLOOKUP(ROUNDUP(Pieņēmumi!D53,0)+1,'Naudas plūsma'!3:12,10)-HLOOKUP(ROUNDUP(Pieņēmumi!D53,0)+1,'Naudas plūsma'!3:21,19)-HLOOKUP(ROUNDUP(Pieņēmumi!D53,0)+1,'Naudas plūsma'!3:22,20)</f>
        <v>30102.435531600004</v>
      </c>
      <c r="H34" s="347"/>
      <c r="I34" s="86"/>
      <c r="J34" s="110"/>
      <c r="K34" s="110"/>
    </row>
    <row r="35" spans="1:11" ht="16.25" customHeight="1" x14ac:dyDescent="0.25">
      <c r="A35" s="350"/>
      <c r="B35" s="350"/>
      <c r="C35" s="90"/>
      <c r="D35" s="350"/>
      <c r="E35" s="350"/>
      <c r="F35" s="90"/>
      <c r="G35" s="347"/>
      <c r="H35" s="347"/>
      <c r="I35" s="86"/>
      <c r="J35" s="110"/>
      <c r="K35" s="110"/>
    </row>
    <row r="36" spans="1:11" ht="16.25" customHeight="1" x14ac:dyDescent="0.25">
      <c r="A36" s="94"/>
      <c r="B36" s="94"/>
      <c r="C36" s="92"/>
      <c r="D36" s="86"/>
      <c r="E36" s="86"/>
      <c r="F36" s="95"/>
      <c r="G36" s="110"/>
      <c r="H36" s="110"/>
      <c r="I36" s="86"/>
      <c r="J36" s="110"/>
      <c r="K36" s="110"/>
    </row>
    <row r="37" spans="1:11" ht="16.25" customHeight="1" x14ac:dyDescent="0.25">
      <c r="A37" s="96" t="s">
        <v>113</v>
      </c>
      <c r="B37" s="97">
        <f>Finansējums!E18+Finansējums!E20</f>
        <v>0.84303934324091556</v>
      </c>
      <c r="C37" s="92"/>
      <c r="D37" s="96" t="s">
        <v>260</v>
      </c>
      <c r="E37" s="97">
        <f>Finansējums!G18/SUM(Finansējums!G18:G20)</f>
        <v>0.72218809103350634</v>
      </c>
      <c r="F37" s="86"/>
      <c r="G37" s="110"/>
      <c r="H37" s="110"/>
      <c r="I37" s="86"/>
      <c r="J37" s="110"/>
      <c r="K37" s="110"/>
    </row>
    <row r="38" spans="1:11" ht="16.25" customHeight="1" x14ac:dyDescent="0.25">
      <c r="A38" s="96" t="s">
        <v>114</v>
      </c>
      <c r="B38" s="97">
        <f>Finansējums!E17</f>
        <v>0.05</v>
      </c>
      <c r="C38" s="92"/>
      <c r="D38" s="96" t="s">
        <v>263</v>
      </c>
      <c r="E38" s="97">
        <f>Finansējums!G20/SUM(Finansējums!G18:G20)</f>
        <v>0.16522174395693107</v>
      </c>
      <c r="F38" s="86"/>
      <c r="G38" s="110"/>
      <c r="H38" s="111"/>
      <c r="I38" s="86"/>
      <c r="J38" s="110"/>
      <c r="K38" s="110"/>
    </row>
    <row r="39" spans="1:11" ht="16.25" customHeight="1" x14ac:dyDescent="0.25">
      <c r="A39" s="94"/>
      <c r="B39" s="94"/>
      <c r="C39" s="92"/>
      <c r="D39" s="93"/>
      <c r="E39" s="86"/>
      <c r="F39" s="86"/>
      <c r="G39" s="110"/>
      <c r="H39" s="110"/>
      <c r="I39" s="86"/>
      <c r="J39" s="110"/>
      <c r="K39" s="110"/>
    </row>
    <row r="40" spans="1:11" ht="16.25" customHeight="1" x14ac:dyDescent="0.25">
      <c r="A40" s="86"/>
      <c r="B40" s="86"/>
      <c r="C40" s="92"/>
      <c r="D40" s="93"/>
      <c r="E40" s="86"/>
      <c r="F40" s="86"/>
      <c r="G40" s="110"/>
      <c r="H40" s="110"/>
      <c r="I40" s="86"/>
      <c r="J40" s="110"/>
      <c r="K40" s="110"/>
    </row>
    <row r="41" spans="1:11" ht="16.25" customHeight="1" x14ac:dyDescent="0.25">
      <c r="A41" s="86"/>
      <c r="B41" s="86"/>
      <c r="C41" s="92"/>
      <c r="D41" s="93"/>
      <c r="E41" s="86"/>
      <c r="F41" s="86"/>
      <c r="G41" s="110"/>
      <c r="H41" s="110"/>
      <c r="I41" s="86"/>
      <c r="J41" s="110"/>
      <c r="K41" s="110"/>
    </row>
    <row r="42" spans="1:11" ht="16.25" customHeight="1" x14ac:dyDescent="0.25">
      <c r="A42" s="86"/>
      <c r="B42" s="86"/>
      <c r="C42" s="92"/>
      <c r="D42" s="93"/>
      <c r="E42" s="86"/>
      <c r="F42" s="86"/>
      <c r="G42" s="110"/>
      <c r="H42" s="110"/>
      <c r="I42" s="86"/>
      <c r="J42" s="110"/>
      <c r="K42" s="110"/>
    </row>
    <row r="43" spans="1:11" ht="16.25" customHeight="1" x14ac:dyDescent="0.25">
      <c r="A43" s="86"/>
      <c r="B43" s="86"/>
      <c r="C43" s="92"/>
      <c r="D43" s="93"/>
      <c r="E43" s="86"/>
      <c r="F43" s="86"/>
      <c r="G43" s="110"/>
      <c r="H43" s="110"/>
      <c r="I43" s="86"/>
      <c r="J43" s="110"/>
      <c r="K43" s="110"/>
    </row>
    <row r="44" spans="1:11" ht="16.25" customHeight="1" x14ac:dyDescent="0.25">
      <c r="A44" s="86"/>
      <c r="B44" s="86"/>
      <c r="C44" s="92"/>
      <c r="D44" s="93"/>
      <c r="E44" s="86"/>
      <c r="F44" s="86"/>
      <c r="G44" s="110"/>
      <c r="H44" s="110"/>
      <c r="I44" s="86"/>
      <c r="J44" s="110"/>
      <c r="K44" s="110"/>
    </row>
    <row r="45" spans="1:11" ht="16.25" customHeight="1" x14ac:dyDescent="0.25">
      <c r="A45" s="86"/>
      <c r="B45" s="86"/>
      <c r="C45" s="92"/>
      <c r="D45" s="93"/>
      <c r="E45" s="86"/>
      <c r="F45" s="86"/>
      <c r="G45" s="110"/>
      <c r="H45" s="110"/>
      <c r="I45" s="86"/>
      <c r="J45" s="110"/>
      <c r="K45" s="110"/>
    </row>
    <row r="46" spans="1:11" ht="16.25" customHeight="1" x14ac:dyDescent="0.25">
      <c r="A46" s="86"/>
      <c r="B46" s="86"/>
      <c r="C46" s="92"/>
      <c r="D46" s="93"/>
      <c r="E46" s="86"/>
      <c r="F46" s="86"/>
      <c r="G46" s="110"/>
      <c r="H46" s="110"/>
      <c r="I46" s="86"/>
      <c r="J46" s="110"/>
      <c r="K46" s="110"/>
    </row>
    <row r="47" spans="1:11" ht="16.25" customHeight="1" x14ac:dyDescent="0.25">
      <c r="A47" s="86"/>
      <c r="B47" s="86"/>
      <c r="C47" s="92"/>
      <c r="D47" s="93"/>
      <c r="E47" s="86"/>
      <c r="F47" s="86"/>
      <c r="G47" s="110"/>
      <c r="H47" s="110"/>
      <c r="I47" s="86"/>
      <c r="J47" s="110"/>
      <c r="K47" s="110"/>
    </row>
    <row r="48" spans="1:11" ht="16.25" customHeight="1" x14ac:dyDescent="0.25">
      <c r="A48" s="86"/>
      <c r="B48" s="86"/>
      <c r="C48" s="92"/>
      <c r="D48" s="93"/>
      <c r="E48" s="86"/>
      <c r="F48" s="86"/>
      <c r="G48" s="110"/>
      <c r="H48" s="110"/>
      <c r="I48" s="86"/>
      <c r="J48" s="110"/>
      <c r="K48" s="110"/>
    </row>
    <row r="49" spans="1:11" ht="16.25" customHeight="1" x14ac:dyDescent="0.25">
      <c r="A49" s="86"/>
      <c r="B49" s="86"/>
      <c r="C49" s="92"/>
      <c r="D49" s="93"/>
      <c r="E49" s="86"/>
      <c r="F49" s="86"/>
      <c r="G49" s="86"/>
      <c r="H49" s="86"/>
      <c r="I49" s="86"/>
      <c r="J49" s="86"/>
      <c r="K49" s="86"/>
    </row>
    <row r="50" spans="1:11" ht="16.25" customHeight="1" x14ac:dyDescent="0.25">
      <c r="A50" s="351" t="s">
        <v>112</v>
      </c>
      <c r="B50" s="351"/>
      <c r="C50" s="351"/>
      <c r="D50" s="351"/>
      <c r="E50" s="351"/>
      <c r="F50" s="351"/>
      <c r="G50" s="351"/>
      <c r="H50" s="351"/>
      <c r="I50" s="351"/>
      <c r="J50" s="351"/>
      <c r="K50" s="351"/>
    </row>
    <row r="51" spans="1:11" ht="16.25" customHeight="1" x14ac:dyDescent="0.25">
      <c r="A51" s="351"/>
      <c r="B51" s="351"/>
      <c r="C51" s="351"/>
      <c r="D51" s="351"/>
      <c r="E51" s="351"/>
      <c r="F51" s="351"/>
      <c r="G51" s="351"/>
      <c r="H51" s="351"/>
      <c r="I51" s="351"/>
      <c r="J51" s="351"/>
      <c r="K51" s="351"/>
    </row>
    <row r="52" spans="1:11" ht="16.25" customHeight="1" thickBot="1" x14ac:dyDescent="0.3">
      <c r="A52" s="352"/>
      <c r="B52" s="352"/>
      <c r="C52" s="352"/>
      <c r="D52" s="352"/>
      <c r="E52" s="352"/>
      <c r="F52" s="352"/>
      <c r="G52" s="352"/>
      <c r="H52" s="352"/>
      <c r="I52" s="352"/>
      <c r="J52" s="352"/>
      <c r="K52" s="352"/>
    </row>
    <row r="53" spans="1:11" ht="16.25" customHeight="1" x14ac:dyDescent="0.25">
      <c r="A53" s="98"/>
      <c r="B53" s="98"/>
      <c r="C53" s="98"/>
      <c r="D53" s="98"/>
      <c r="E53" s="98"/>
      <c r="F53" s="98"/>
      <c r="G53" s="98"/>
      <c r="H53" s="98"/>
      <c r="I53" s="98"/>
      <c r="J53" s="98"/>
      <c r="K53" s="98"/>
    </row>
    <row r="54" spans="1:11" s="85" customFormat="1" ht="16.25" customHeight="1" x14ac:dyDescent="0.3">
      <c r="A54" s="348" t="s">
        <v>123</v>
      </c>
      <c r="B54" s="348"/>
      <c r="C54" s="348"/>
      <c r="D54" s="348"/>
      <c r="E54" s="348"/>
      <c r="F54" s="99"/>
      <c r="G54" s="348" t="s">
        <v>115</v>
      </c>
      <c r="H54" s="348"/>
      <c r="I54" s="348"/>
      <c r="J54" s="348"/>
      <c r="K54" s="348"/>
    </row>
    <row r="55" spans="1:11" s="85" customFormat="1" ht="16.25" customHeight="1" x14ac:dyDescent="0.3">
      <c r="A55" s="348"/>
      <c r="B55" s="348"/>
      <c r="C55" s="348"/>
      <c r="D55" s="348"/>
      <c r="E55" s="348"/>
      <c r="F55" s="99"/>
      <c r="G55" s="348"/>
      <c r="H55" s="348"/>
      <c r="I55" s="348"/>
      <c r="J55" s="348"/>
      <c r="K55" s="348"/>
    </row>
    <row r="56" spans="1:11" ht="16.25" customHeight="1" x14ac:dyDescent="0.25">
      <c r="A56" s="86"/>
      <c r="B56" s="86"/>
      <c r="C56" s="86"/>
      <c r="D56" s="86"/>
      <c r="E56" s="86"/>
      <c r="F56" s="86"/>
      <c r="G56" s="347">
        <f>-SUM(Finansējums!J38:AU38)</f>
        <v>285187.96799999999</v>
      </c>
      <c r="H56" s="347"/>
      <c r="I56" s="347"/>
      <c r="J56" s="347"/>
      <c r="K56" s="347"/>
    </row>
    <row r="57" spans="1:11" ht="16.25" customHeight="1" x14ac:dyDescent="0.25">
      <c r="A57" s="100"/>
      <c r="B57" s="100"/>
      <c r="C57" s="100"/>
      <c r="D57" s="100"/>
      <c r="E57" s="86"/>
      <c r="F57" s="86"/>
      <c r="G57" s="347"/>
      <c r="H57" s="347"/>
      <c r="I57" s="347"/>
      <c r="J57" s="347"/>
      <c r="K57" s="347"/>
    </row>
    <row r="58" spans="1:11" ht="16.25" customHeight="1" x14ac:dyDescent="0.3">
      <c r="A58" s="100" t="s">
        <v>132</v>
      </c>
      <c r="B58" s="101">
        <f>IRR('Naudas plūsma'!C27:AZ27)</f>
        <v>9.3357521706166846E-2</v>
      </c>
      <c r="C58" s="100"/>
      <c r="D58" s="100"/>
      <c r="E58" s="86"/>
      <c r="F58" s="86"/>
      <c r="G58" s="86"/>
      <c r="H58" s="89"/>
      <c r="I58" s="86"/>
      <c r="J58" s="102"/>
      <c r="K58" s="86"/>
    </row>
    <row r="59" spans="1:11" s="52" customFormat="1" ht="16.25" customHeight="1" x14ac:dyDescent="0.25">
      <c r="A59" s="91" t="s">
        <v>94</v>
      </c>
      <c r="B59" s="103">
        <f>B60-B58</f>
        <v>-9.5196446652476702E-3</v>
      </c>
      <c r="C59" s="91"/>
      <c r="D59" s="91"/>
      <c r="E59" s="93"/>
      <c r="F59" s="93"/>
      <c r="G59" s="93"/>
      <c r="H59" s="93"/>
      <c r="I59" s="93"/>
      <c r="J59" s="102"/>
      <c r="K59" s="93"/>
    </row>
    <row r="60" spans="1:11" s="52" customFormat="1" ht="16.25" customHeight="1" x14ac:dyDescent="0.25">
      <c r="A60" s="91" t="s">
        <v>39</v>
      </c>
      <c r="B60" s="103">
        <f>Pieņēmumi!D45</f>
        <v>8.3837877040919176E-2</v>
      </c>
      <c r="C60" s="91"/>
      <c r="D60" s="91"/>
      <c r="E60" s="93"/>
      <c r="F60" s="93"/>
      <c r="G60" s="348" t="s">
        <v>130</v>
      </c>
      <c r="H60" s="348"/>
      <c r="I60" s="348"/>
      <c r="J60" s="348"/>
      <c r="K60" s="348"/>
    </row>
    <row r="61" spans="1:11" s="52" customFormat="1" ht="16.25" customHeight="1" x14ac:dyDescent="0.25">
      <c r="A61" s="91"/>
      <c r="B61" s="91"/>
      <c r="C61" s="91"/>
      <c r="D61" s="91"/>
      <c r="E61" s="93"/>
      <c r="F61" s="93"/>
      <c r="G61" s="348"/>
      <c r="H61" s="348"/>
      <c r="I61" s="348"/>
      <c r="J61" s="348"/>
      <c r="K61" s="348"/>
    </row>
    <row r="62" spans="1:11" s="52" customFormat="1" ht="16.25" customHeight="1" x14ac:dyDescent="0.25">
      <c r="A62" s="91"/>
      <c r="B62" s="91"/>
      <c r="C62" s="91"/>
      <c r="D62" s="91"/>
      <c r="E62" s="93"/>
      <c r="F62" s="93"/>
      <c r="G62" s="346">
        <f>Pieņēmumi!D79</f>
        <v>0.3</v>
      </c>
      <c r="H62" s="346"/>
      <c r="I62" s="346"/>
      <c r="J62" s="346"/>
      <c r="K62" s="346"/>
    </row>
    <row r="63" spans="1:11" s="52" customFormat="1" ht="16.25" customHeight="1" x14ac:dyDescent="0.25">
      <c r="A63" s="93"/>
      <c r="B63" s="93"/>
      <c r="C63" s="93"/>
      <c r="D63" s="93"/>
      <c r="E63" s="93"/>
      <c r="F63" s="93"/>
      <c r="G63" s="346"/>
      <c r="H63" s="346"/>
      <c r="I63" s="346"/>
      <c r="J63" s="346"/>
      <c r="K63" s="346"/>
    </row>
    <row r="64" spans="1:11" s="52" customFormat="1" ht="16.25" customHeight="1" x14ac:dyDescent="0.25">
      <c r="A64" s="93"/>
      <c r="B64" s="93"/>
      <c r="C64" s="93"/>
      <c r="D64" s="93"/>
      <c r="E64" s="93"/>
      <c r="F64" s="93"/>
      <c r="G64" s="93"/>
      <c r="H64" s="93"/>
      <c r="I64" s="93"/>
      <c r="J64" s="93"/>
      <c r="K64" s="93"/>
    </row>
    <row r="65" spans="1:11" s="52" customFormat="1" ht="16.25" customHeight="1" x14ac:dyDescent="0.25">
      <c r="A65" s="93"/>
      <c r="B65" s="93"/>
      <c r="C65" s="93"/>
      <c r="D65" s="93"/>
      <c r="E65" s="93"/>
      <c r="F65" s="93"/>
      <c r="G65" s="93"/>
      <c r="H65" s="93"/>
      <c r="I65" s="93"/>
      <c r="J65" s="93"/>
      <c r="K65" s="93"/>
    </row>
    <row r="66" spans="1:11" s="52" customFormat="1" ht="16.25" customHeight="1" x14ac:dyDescent="0.25">
      <c r="A66" s="93"/>
      <c r="B66" s="93"/>
      <c r="C66" s="93"/>
      <c r="D66" s="93"/>
      <c r="E66" s="93"/>
      <c r="F66" s="93"/>
      <c r="G66" s="348" t="s">
        <v>262</v>
      </c>
      <c r="H66" s="348"/>
      <c r="I66" s="348"/>
      <c r="J66" s="348"/>
      <c r="K66" s="348"/>
    </row>
    <row r="67" spans="1:11" s="52" customFormat="1" ht="16.25" customHeight="1" x14ac:dyDescent="0.25">
      <c r="A67" s="93"/>
      <c r="B67" s="93"/>
      <c r="C67" s="93"/>
      <c r="D67" s="93"/>
      <c r="E67" s="93"/>
      <c r="F67" s="93"/>
      <c r="G67" s="348"/>
      <c r="H67" s="348"/>
      <c r="I67" s="348"/>
      <c r="J67" s="348"/>
      <c r="K67" s="348"/>
    </row>
    <row r="68" spans="1:11" s="52" customFormat="1" ht="16.25" customHeight="1" x14ac:dyDescent="0.25">
      <c r="A68" s="93"/>
      <c r="B68" s="93"/>
      <c r="C68" s="93"/>
      <c r="D68" s="93"/>
      <c r="E68" s="86"/>
      <c r="F68" s="93"/>
      <c r="G68" s="346">
        <f>G56/Finansējums!G18</f>
        <v>0.33333333333333331</v>
      </c>
      <c r="H68" s="346"/>
      <c r="I68" s="346"/>
      <c r="J68" s="346"/>
      <c r="K68" s="346"/>
    </row>
    <row r="69" spans="1:11" s="52" customFormat="1" ht="16.25" customHeight="1" x14ac:dyDescent="0.25">
      <c r="A69" s="93"/>
      <c r="B69" s="93"/>
      <c r="C69" s="93"/>
      <c r="D69" s="93"/>
      <c r="E69" s="86"/>
      <c r="F69" s="93"/>
      <c r="G69" s="346"/>
      <c r="H69" s="346"/>
      <c r="I69" s="346"/>
      <c r="J69" s="346"/>
      <c r="K69" s="346"/>
    </row>
    <row r="70" spans="1:11" s="52" customFormat="1" ht="16.25" customHeight="1" x14ac:dyDescent="0.25">
      <c r="A70" s="93"/>
      <c r="B70" s="93"/>
      <c r="C70" s="93"/>
      <c r="D70" s="93"/>
      <c r="E70" s="86"/>
      <c r="F70" s="93"/>
      <c r="G70" s="93"/>
      <c r="H70" s="93"/>
      <c r="I70" s="93"/>
      <c r="J70" s="93"/>
      <c r="K70" s="93"/>
    </row>
    <row r="71" spans="1:11" s="52" customFormat="1" ht="16.25" customHeight="1" x14ac:dyDescent="0.25">
      <c r="A71" s="93"/>
      <c r="B71" s="93"/>
      <c r="C71" s="93"/>
      <c r="D71" s="93"/>
      <c r="E71" s="93"/>
      <c r="F71" s="93"/>
      <c r="G71" s="93"/>
      <c r="H71" s="93"/>
      <c r="I71" s="93"/>
      <c r="J71" s="93"/>
      <c r="K71" s="93"/>
    </row>
    <row r="72" spans="1:11" ht="16.25" customHeight="1" x14ac:dyDescent="0.25">
      <c r="A72" s="86"/>
      <c r="B72" s="86"/>
      <c r="C72" s="92"/>
      <c r="D72" s="93"/>
      <c r="E72" s="86"/>
      <c r="F72" s="86"/>
      <c r="G72" s="348" t="s">
        <v>131</v>
      </c>
      <c r="H72" s="348"/>
      <c r="I72" s="348"/>
      <c r="J72" s="348"/>
      <c r="K72" s="348"/>
    </row>
    <row r="73" spans="1:11" ht="16.25" customHeight="1" x14ac:dyDescent="0.25">
      <c r="A73" s="86"/>
      <c r="B73" s="86"/>
      <c r="C73" s="92"/>
      <c r="D73" s="93"/>
      <c r="E73" s="86"/>
      <c r="F73" s="86"/>
      <c r="G73" s="348"/>
      <c r="H73" s="348"/>
      <c r="I73" s="348"/>
      <c r="J73" s="348"/>
      <c r="K73" s="348"/>
    </row>
    <row r="74" spans="1:11" ht="16.25" customHeight="1" x14ac:dyDescent="0.25">
      <c r="A74" s="86"/>
      <c r="B74" s="86"/>
      <c r="C74" s="92"/>
      <c r="D74" s="93"/>
      <c r="E74" s="86"/>
      <c r="F74" s="86"/>
      <c r="G74" s="346">
        <f>$G$56/Finansējums!$E$16</f>
        <v>0.22869289549394364</v>
      </c>
      <c r="H74" s="346"/>
      <c r="I74" s="346"/>
      <c r="J74" s="346"/>
      <c r="K74" s="346"/>
    </row>
    <row r="75" spans="1:11" ht="16.25" customHeight="1" x14ac:dyDescent="0.25">
      <c r="A75" s="86"/>
      <c r="B75" s="86"/>
      <c r="C75" s="92"/>
      <c r="D75" s="93"/>
      <c r="E75" s="86"/>
      <c r="F75" s="86"/>
      <c r="G75" s="346"/>
      <c r="H75" s="346"/>
      <c r="I75" s="346"/>
      <c r="J75" s="346"/>
      <c r="K75" s="346"/>
    </row>
    <row r="76" spans="1:11" ht="16.25" customHeight="1" x14ac:dyDescent="0.25">
      <c r="A76" s="86"/>
      <c r="B76" s="86"/>
      <c r="C76" s="92"/>
      <c r="D76" s="93"/>
      <c r="E76" s="86"/>
      <c r="F76" s="86"/>
      <c r="G76" s="86"/>
      <c r="H76" s="86"/>
      <c r="I76" s="86"/>
      <c r="J76" s="86"/>
      <c r="K76" s="86"/>
    </row>
    <row r="77" spans="1:11" ht="16.25" customHeight="1" x14ac:dyDescent="0.25">
      <c r="A77" s="86"/>
      <c r="B77" s="86"/>
      <c r="C77" s="92"/>
      <c r="D77" s="93"/>
      <c r="E77" s="86"/>
      <c r="F77" s="86"/>
      <c r="G77" s="86"/>
      <c r="H77" s="86"/>
      <c r="I77" s="86"/>
      <c r="J77" s="86"/>
      <c r="K77" s="86"/>
    </row>
    <row r="78" spans="1:11" x14ac:dyDescent="0.25">
      <c r="A78" s="86"/>
      <c r="B78" s="86"/>
      <c r="C78" s="92"/>
      <c r="D78" s="93"/>
      <c r="E78" s="86"/>
      <c r="F78" s="86"/>
      <c r="G78" s="86"/>
      <c r="H78" s="86"/>
      <c r="I78" s="86"/>
      <c r="J78" s="86"/>
      <c r="K78" s="86"/>
    </row>
    <row r="79" spans="1:11" x14ac:dyDescent="0.25">
      <c r="A79" s="86"/>
      <c r="B79" s="86"/>
      <c r="C79" s="92"/>
      <c r="D79" s="93"/>
      <c r="E79" s="86"/>
      <c r="F79" s="86"/>
      <c r="G79" s="86"/>
      <c r="H79" s="86"/>
      <c r="I79" s="86"/>
      <c r="J79" s="86"/>
      <c r="K79" s="86"/>
    </row>
    <row r="80" spans="1:11" x14ac:dyDescent="0.25">
      <c r="A80" s="86"/>
      <c r="B80" s="86"/>
      <c r="C80" s="92"/>
      <c r="D80" s="93"/>
      <c r="E80" s="86"/>
      <c r="F80" s="86"/>
      <c r="G80" s="86"/>
      <c r="H80" s="86"/>
      <c r="I80" s="86"/>
      <c r="J80" s="86"/>
      <c r="K80" s="86"/>
    </row>
    <row r="81" spans="1:6" x14ac:dyDescent="0.25">
      <c r="A81" s="86"/>
      <c r="B81" s="86"/>
      <c r="C81" s="92"/>
      <c r="D81" s="93"/>
      <c r="E81" s="86"/>
      <c r="F81" s="86"/>
    </row>
    <row r="82" spans="1:6" x14ac:dyDescent="0.25">
      <c r="A82" s="86"/>
      <c r="B82" s="86"/>
      <c r="C82" s="92"/>
      <c r="D82" s="93"/>
      <c r="E82" s="86"/>
      <c r="F82" s="86"/>
    </row>
  </sheetData>
  <mergeCells count="22">
    <mergeCell ref="A2:K4"/>
    <mergeCell ref="A28:K30"/>
    <mergeCell ref="A8:B9"/>
    <mergeCell ref="A10:B11"/>
    <mergeCell ref="D8:E9"/>
    <mergeCell ref="D10:E11"/>
    <mergeCell ref="G32:H33"/>
    <mergeCell ref="A34:B35"/>
    <mergeCell ref="D34:E35"/>
    <mergeCell ref="G34:H35"/>
    <mergeCell ref="A50:K52"/>
    <mergeCell ref="A32:B33"/>
    <mergeCell ref="D32:E33"/>
    <mergeCell ref="G74:K75"/>
    <mergeCell ref="G56:K57"/>
    <mergeCell ref="G66:K67"/>
    <mergeCell ref="G68:K69"/>
    <mergeCell ref="A54:E55"/>
    <mergeCell ref="G54:K55"/>
    <mergeCell ref="G62:K63"/>
    <mergeCell ref="G60:K61"/>
    <mergeCell ref="G72:K7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A1:BA87"/>
  <sheetViews>
    <sheetView showGridLines="0" tabSelected="1" zoomScaleNormal="100" workbookViewId="0">
      <pane ySplit="3" topLeftCell="A7" activePane="bottomLeft" state="frozen"/>
      <selection pane="bottomLeft" activeCell="F10" sqref="F10"/>
    </sheetView>
  </sheetViews>
  <sheetFormatPr defaultColWidth="8.6640625" defaultRowHeight="12.5" x14ac:dyDescent="0.25"/>
  <cols>
    <col min="1" max="1" width="2.58203125" style="35" customWidth="1"/>
    <col min="2" max="2" width="58.6640625" style="35" customWidth="1"/>
    <col min="3" max="3" width="14.5" style="35" customWidth="1"/>
    <col min="4" max="4" width="14.6640625" style="35" customWidth="1"/>
    <col min="5" max="5" width="5.1640625" style="35" customWidth="1"/>
    <col min="6" max="6" width="130.6640625" style="34" customWidth="1"/>
    <col min="7" max="7" width="31.08203125" style="35" customWidth="1"/>
    <col min="8" max="8" width="31.1640625" style="35" customWidth="1"/>
    <col min="9" max="9" width="31.08203125" style="35" customWidth="1"/>
    <col min="10" max="16384" width="8.6640625" style="35"/>
  </cols>
  <sheetData>
    <row r="1" spans="1:53" ht="26" customHeight="1" thickTop="1" x14ac:dyDescent="0.25">
      <c r="B1" s="324" t="s">
        <v>122</v>
      </c>
      <c r="C1" s="319"/>
    </row>
    <row r="2" spans="1:53" s="46" customFormat="1" ht="27.5" x14ac:dyDescent="0.5">
      <c r="A2" s="323"/>
      <c r="B2" s="325" t="s">
        <v>288</v>
      </c>
      <c r="C2" s="320"/>
      <c r="D2" s="326" t="str">
        <f>IF(D28="ERROR","ERROR", IF($D$18*$D$14&gt;0.05*$D$28, "ERROR", IF(D47&gt;5,"ERROR",IF(D57=0,"ERROR",IF(D70&lt;0.05,"ERROR",IF(D77&lt;1,"ERROR",IF(D77&gt;1,"ERROR",IF(D78&gt;1,"ERROR",IF(D78&lt;1,"ERROR", IF(D79&gt;0.3,"ERROR",IF(D85="1", "ERROR","-")))))))))))</f>
        <v>-</v>
      </c>
      <c r="F2" s="330" t="s">
        <v>285</v>
      </c>
      <c r="G2" s="45"/>
      <c r="H2" s="80"/>
      <c r="I2" s="80"/>
      <c r="J2" s="80"/>
      <c r="K2" s="80"/>
      <c r="L2" s="80"/>
      <c r="M2" s="80"/>
      <c r="N2" s="80"/>
    </row>
    <row r="3" spans="1:53" s="46" customFormat="1" ht="25.25" customHeight="1" thickBot="1" x14ac:dyDescent="0.3">
      <c r="B3" s="322" t="s">
        <v>281</v>
      </c>
      <c r="F3" s="327"/>
      <c r="H3" s="80"/>
      <c r="I3" s="80"/>
      <c r="J3" s="80"/>
      <c r="K3" s="80"/>
      <c r="L3" s="80"/>
      <c r="M3" s="80"/>
      <c r="N3" s="80"/>
    </row>
    <row r="4" spans="1:53" s="46" customFormat="1" ht="20" customHeight="1" thickTop="1" x14ac:dyDescent="0.25">
      <c r="B4" s="321"/>
      <c r="F4" s="79"/>
      <c r="H4" s="80"/>
      <c r="I4" s="80"/>
      <c r="J4" s="80"/>
      <c r="K4" s="80"/>
      <c r="L4" s="80"/>
      <c r="M4" s="80"/>
      <c r="N4" s="80"/>
    </row>
    <row r="5" spans="1:53" ht="29" customHeight="1" thickBot="1" x14ac:dyDescent="0.3">
      <c r="A5" s="118"/>
      <c r="B5" s="207"/>
      <c r="C5" s="208" t="s">
        <v>101</v>
      </c>
      <c r="D5" s="308" t="s">
        <v>223</v>
      </c>
      <c r="E5" s="115"/>
      <c r="F5" s="209" t="s">
        <v>109</v>
      </c>
      <c r="G5" s="115"/>
      <c r="H5" s="115"/>
      <c r="I5" s="115"/>
      <c r="J5" s="115"/>
      <c r="K5" s="115"/>
      <c r="L5" s="115"/>
      <c r="M5" s="115"/>
      <c r="N5" s="115"/>
      <c r="O5" s="115"/>
      <c r="S5" s="36"/>
    </row>
    <row r="6" spans="1:53" s="32" customFormat="1" ht="24" customHeight="1" x14ac:dyDescent="0.3">
      <c r="A6" s="120"/>
      <c r="B6" s="121" t="s">
        <v>4</v>
      </c>
      <c r="C6" s="121"/>
      <c r="D6" s="121"/>
      <c r="E6" s="122"/>
      <c r="F6" s="304"/>
      <c r="G6" s="305"/>
      <c r="H6" s="305"/>
      <c r="I6" s="305"/>
      <c r="J6" s="305"/>
      <c r="K6" s="305"/>
      <c r="L6" s="305"/>
      <c r="M6" s="305"/>
      <c r="N6" s="305"/>
      <c r="O6" s="305"/>
      <c r="P6" s="33"/>
      <c r="Q6" s="33"/>
      <c r="R6" s="33"/>
      <c r="S6" s="33"/>
      <c r="T6" s="33"/>
      <c r="U6" s="33"/>
      <c r="V6" s="33"/>
      <c r="W6" s="33"/>
      <c r="X6" s="33"/>
      <c r="Y6" s="33"/>
      <c r="Z6" s="33"/>
      <c r="AA6" s="33"/>
      <c r="AB6" s="33"/>
    </row>
    <row r="7" spans="1:53" ht="27" customHeight="1" x14ac:dyDescent="0.25">
      <c r="A7" s="118"/>
      <c r="B7" s="115" t="s">
        <v>255</v>
      </c>
      <c r="C7" s="123" t="s">
        <v>5</v>
      </c>
      <c r="D7" s="132">
        <v>0.02</v>
      </c>
      <c r="E7" s="124"/>
      <c r="F7" s="331" t="s">
        <v>265</v>
      </c>
      <c r="G7" s="306"/>
      <c r="H7" s="306"/>
      <c r="I7" s="306"/>
      <c r="J7" s="306"/>
      <c r="K7" s="306"/>
      <c r="L7" s="306"/>
      <c r="M7" s="306"/>
      <c r="N7" s="306"/>
      <c r="O7" s="306"/>
      <c r="P7" s="66"/>
      <c r="Q7" s="66"/>
      <c r="R7" s="66"/>
      <c r="S7" s="66"/>
    </row>
    <row r="8" spans="1:53" ht="24" customHeight="1" x14ac:dyDescent="0.25">
      <c r="A8" s="118"/>
      <c r="B8" s="115" t="s">
        <v>116</v>
      </c>
      <c r="C8" s="116" t="s">
        <v>5</v>
      </c>
      <c r="D8" s="132">
        <v>0.21</v>
      </c>
      <c r="E8" s="124"/>
      <c r="F8" s="332" t="s">
        <v>198</v>
      </c>
      <c r="G8" s="130"/>
      <c r="H8" s="130"/>
      <c r="I8" s="130"/>
      <c r="J8" s="130"/>
      <c r="K8" s="130"/>
      <c r="L8" s="130"/>
      <c r="M8" s="130"/>
      <c r="N8" s="130"/>
      <c r="O8" s="130"/>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row>
    <row r="9" spans="1:53" ht="24" customHeight="1" x14ac:dyDescent="0.25">
      <c r="A9" s="118"/>
      <c r="B9" s="126" t="s">
        <v>121</v>
      </c>
      <c r="C9" s="116" t="s">
        <v>5</v>
      </c>
      <c r="D9" s="132">
        <v>0.2</v>
      </c>
      <c r="E9" s="124"/>
      <c r="F9" s="332" t="s">
        <v>199</v>
      </c>
      <c r="G9" s="130"/>
      <c r="H9" s="130"/>
      <c r="I9" s="130"/>
      <c r="J9" s="130"/>
      <c r="K9" s="130"/>
      <c r="L9" s="130"/>
      <c r="M9" s="130"/>
      <c r="N9" s="130"/>
      <c r="O9" s="130"/>
      <c r="S9" s="36"/>
    </row>
    <row r="10" spans="1:53" s="32" customFormat="1" ht="24" customHeight="1" x14ac:dyDescent="0.3">
      <c r="A10" s="120"/>
      <c r="B10" s="121" t="s">
        <v>264</v>
      </c>
      <c r="C10" s="121"/>
      <c r="D10" s="121"/>
      <c r="E10" s="124"/>
      <c r="F10" s="333"/>
      <c r="G10" s="305"/>
      <c r="H10" s="305"/>
      <c r="I10" s="305"/>
      <c r="J10" s="305"/>
      <c r="K10" s="305"/>
      <c r="L10" s="305"/>
      <c r="M10" s="305"/>
      <c r="N10" s="305"/>
      <c r="O10" s="305"/>
      <c r="P10" s="33"/>
      <c r="Q10" s="33"/>
      <c r="R10" s="33"/>
      <c r="S10" s="33"/>
      <c r="T10" s="33"/>
      <c r="U10" s="33"/>
      <c r="V10" s="33"/>
      <c r="W10" s="33"/>
      <c r="X10" s="33"/>
      <c r="Y10" s="33"/>
      <c r="Z10" s="33"/>
      <c r="AA10" s="33"/>
      <c r="AB10" s="33"/>
    </row>
    <row r="11" spans="1:53" ht="24" customHeight="1" x14ac:dyDescent="0.25">
      <c r="A11" s="118"/>
      <c r="B11" s="120" t="s">
        <v>10</v>
      </c>
      <c r="C11" s="116" t="s">
        <v>135</v>
      </c>
      <c r="D11" s="314">
        <v>16</v>
      </c>
      <c r="E11" s="124"/>
      <c r="F11" s="332" t="s">
        <v>266</v>
      </c>
      <c r="G11" s="130"/>
      <c r="H11" s="130"/>
      <c r="I11" s="130"/>
      <c r="J11" s="130"/>
      <c r="K11" s="130"/>
      <c r="L11" s="130"/>
      <c r="M11" s="130"/>
      <c r="N11" s="130"/>
      <c r="O11" s="130"/>
      <c r="S11" s="36"/>
    </row>
    <row r="12" spans="1:53" ht="60.65" customHeight="1" x14ac:dyDescent="0.25">
      <c r="A12" s="118"/>
      <c r="B12" s="128" t="s">
        <v>243</v>
      </c>
      <c r="C12" s="309" t="s">
        <v>245</v>
      </c>
      <c r="D12" s="277">
        <v>59447</v>
      </c>
      <c r="E12" s="124"/>
      <c r="F12" s="332" t="s">
        <v>286</v>
      </c>
      <c r="G12" s="130"/>
      <c r="H12" s="130"/>
      <c r="I12" s="130"/>
      <c r="J12" s="130"/>
      <c r="K12" s="130"/>
      <c r="L12" s="130"/>
      <c r="M12" s="130"/>
      <c r="N12" s="130"/>
      <c r="O12" s="130"/>
      <c r="S12" s="36"/>
    </row>
    <row r="13" spans="1:53" ht="25" x14ac:dyDescent="0.25">
      <c r="A13" s="118"/>
      <c r="B13" s="120" t="s">
        <v>244</v>
      </c>
      <c r="C13" s="116" t="s">
        <v>7</v>
      </c>
      <c r="D13" s="318">
        <v>52.125</v>
      </c>
      <c r="E13" s="124"/>
      <c r="F13" s="332" t="s">
        <v>290</v>
      </c>
      <c r="G13" s="130"/>
      <c r="H13" s="130"/>
      <c r="I13" s="130"/>
      <c r="J13" s="130"/>
      <c r="K13" s="130"/>
      <c r="L13" s="130"/>
      <c r="M13" s="130"/>
      <c r="N13" s="130"/>
      <c r="O13" s="130"/>
      <c r="S13" s="36"/>
    </row>
    <row r="14" spans="1:53" ht="37.5" x14ac:dyDescent="0.25">
      <c r="A14" s="118"/>
      <c r="B14" s="120" t="s">
        <v>256</v>
      </c>
      <c r="C14" s="116" t="s">
        <v>7</v>
      </c>
      <c r="D14" s="318">
        <f>1.37*D11*D13</f>
        <v>1142.5800000000002</v>
      </c>
      <c r="E14" s="124"/>
      <c r="F14" s="332" t="s">
        <v>246</v>
      </c>
      <c r="G14" s="130"/>
      <c r="H14" s="130"/>
      <c r="I14" s="130"/>
      <c r="J14" s="130"/>
      <c r="K14" s="130"/>
      <c r="L14" s="130"/>
      <c r="M14" s="130"/>
      <c r="N14" s="130"/>
      <c r="O14" s="130"/>
      <c r="S14" s="36"/>
    </row>
    <row r="15" spans="1:53" ht="24" customHeight="1" x14ac:dyDescent="0.25">
      <c r="A15" s="118"/>
      <c r="B15" s="115"/>
      <c r="C15" s="116" t="s">
        <v>152</v>
      </c>
      <c r="D15" s="279">
        <v>12</v>
      </c>
      <c r="E15" s="124"/>
      <c r="F15" s="332" t="s">
        <v>216</v>
      </c>
      <c r="G15" s="130"/>
      <c r="H15" s="130"/>
      <c r="I15" s="130"/>
      <c r="J15" s="130"/>
      <c r="K15" s="130"/>
      <c r="L15" s="130"/>
      <c r="M15" s="130"/>
      <c r="N15" s="130"/>
      <c r="O15" s="130"/>
      <c r="S15" s="36"/>
    </row>
    <row r="16" spans="1:53" s="32" customFormat="1" ht="24" customHeight="1" x14ac:dyDescent="0.3">
      <c r="A16" s="120"/>
      <c r="B16" s="121" t="s">
        <v>6</v>
      </c>
      <c r="C16" s="121"/>
      <c r="D16" s="121"/>
      <c r="E16" s="124"/>
      <c r="F16" s="333"/>
      <c r="G16" s="305"/>
      <c r="H16" s="305"/>
      <c r="I16" s="305"/>
      <c r="J16" s="305"/>
      <c r="K16" s="305"/>
      <c r="L16" s="305"/>
      <c r="M16" s="305"/>
      <c r="N16" s="305"/>
      <c r="O16" s="305"/>
      <c r="P16" s="33"/>
      <c r="Q16" s="33"/>
      <c r="R16" s="33"/>
      <c r="S16" s="33"/>
      <c r="T16" s="33"/>
      <c r="U16" s="33"/>
      <c r="V16" s="33"/>
      <c r="W16" s="33"/>
      <c r="X16" s="33"/>
      <c r="Y16" s="33"/>
      <c r="Z16" s="33"/>
      <c r="AA16" s="33"/>
      <c r="AB16" s="33"/>
    </row>
    <row r="17" spans="1:15" ht="55.25" customHeight="1" x14ac:dyDescent="0.25">
      <c r="A17" s="115"/>
      <c r="B17" s="137" t="s">
        <v>267</v>
      </c>
      <c r="C17" s="136"/>
      <c r="D17" s="136"/>
      <c r="E17" s="124"/>
      <c r="F17" s="334" t="s">
        <v>291</v>
      </c>
      <c r="G17" s="130"/>
      <c r="H17" s="130"/>
      <c r="I17" s="130"/>
      <c r="J17" s="130"/>
      <c r="K17" s="130"/>
      <c r="L17" s="130"/>
      <c r="M17" s="130"/>
      <c r="N17" s="130"/>
      <c r="O17" s="130"/>
    </row>
    <row r="18" spans="1:15" ht="32" customHeight="1" x14ac:dyDescent="0.25">
      <c r="A18" s="115"/>
      <c r="B18" s="128" t="s">
        <v>240</v>
      </c>
      <c r="C18" s="145" t="s">
        <v>49</v>
      </c>
      <c r="D18" s="134">
        <v>15</v>
      </c>
      <c r="E18" s="124"/>
      <c r="F18" s="335" t="s">
        <v>228</v>
      </c>
      <c r="G18" s="130"/>
      <c r="H18" s="130"/>
      <c r="I18" s="130"/>
      <c r="J18" s="130"/>
      <c r="K18" s="130"/>
      <c r="L18" s="130"/>
      <c r="M18" s="130"/>
      <c r="N18" s="130"/>
      <c r="O18" s="130"/>
    </row>
    <row r="19" spans="1:15" ht="35.4" customHeight="1" x14ac:dyDescent="0.25">
      <c r="A19" s="115"/>
      <c r="B19" s="128" t="s">
        <v>229</v>
      </c>
      <c r="C19" s="145" t="s">
        <v>49</v>
      </c>
      <c r="D19" s="134">
        <v>20</v>
      </c>
      <c r="E19" s="124"/>
      <c r="F19" s="334"/>
      <c r="G19" s="130"/>
      <c r="H19" s="130"/>
      <c r="I19" s="130"/>
      <c r="J19" s="130"/>
      <c r="K19" s="130"/>
      <c r="L19" s="130"/>
      <c r="M19" s="130"/>
      <c r="N19" s="130"/>
      <c r="O19" s="130"/>
    </row>
    <row r="20" spans="1:15" ht="24" customHeight="1" x14ac:dyDescent="0.25">
      <c r="A20" s="115"/>
      <c r="B20" s="128" t="s">
        <v>230</v>
      </c>
      <c r="C20" s="145" t="s">
        <v>49</v>
      </c>
      <c r="D20" s="134">
        <v>20</v>
      </c>
      <c r="E20" s="124"/>
      <c r="F20" s="336"/>
      <c r="G20" s="130"/>
      <c r="H20" s="130"/>
      <c r="I20" s="130"/>
      <c r="J20" s="130"/>
      <c r="K20" s="130"/>
      <c r="L20" s="130"/>
      <c r="M20" s="130"/>
      <c r="N20" s="130"/>
      <c r="O20" s="130"/>
    </row>
    <row r="21" spans="1:15" ht="24.65" customHeight="1" x14ac:dyDescent="0.25">
      <c r="A21" s="115"/>
      <c r="B21" s="128" t="s">
        <v>241</v>
      </c>
      <c r="C21" s="145" t="s">
        <v>49</v>
      </c>
      <c r="D21" s="134">
        <v>20</v>
      </c>
      <c r="E21" s="124"/>
      <c r="F21" s="334"/>
      <c r="G21" s="130"/>
      <c r="H21" s="130"/>
      <c r="I21" s="130"/>
      <c r="J21" s="130"/>
      <c r="K21" s="130"/>
      <c r="L21" s="130"/>
      <c r="M21" s="130"/>
      <c r="N21" s="130"/>
      <c r="O21" s="130"/>
    </row>
    <row r="22" spans="1:15" ht="24" customHeight="1" x14ac:dyDescent="0.25">
      <c r="A22" s="115"/>
      <c r="B22" s="128" t="s">
        <v>17</v>
      </c>
      <c r="C22" s="145" t="s">
        <v>49</v>
      </c>
      <c r="D22" s="134">
        <v>681</v>
      </c>
      <c r="E22" s="124"/>
      <c r="F22" s="334"/>
      <c r="G22" s="130"/>
      <c r="H22" s="130"/>
      <c r="I22" s="130"/>
      <c r="J22" s="130"/>
      <c r="K22" s="130"/>
      <c r="L22" s="130"/>
      <c r="M22" s="130"/>
      <c r="N22" s="130"/>
      <c r="O22" s="130"/>
    </row>
    <row r="23" spans="1:15" ht="25" x14ac:dyDescent="0.25">
      <c r="A23" s="115"/>
      <c r="B23" s="128" t="s">
        <v>231</v>
      </c>
      <c r="C23" s="145" t="s">
        <v>49</v>
      </c>
      <c r="D23" s="134"/>
      <c r="E23" s="124"/>
      <c r="F23" s="334"/>
      <c r="G23" s="130"/>
      <c r="H23" s="130"/>
      <c r="I23" s="130"/>
      <c r="J23" s="130"/>
      <c r="K23" s="130"/>
      <c r="L23" s="130"/>
      <c r="M23" s="130"/>
      <c r="N23" s="130"/>
      <c r="O23" s="130"/>
    </row>
    <row r="24" spans="1:15" ht="25" x14ac:dyDescent="0.25">
      <c r="A24" s="115"/>
      <c r="B24" s="128" t="s">
        <v>232</v>
      </c>
      <c r="C24" s="145" t="s">
        <v>49</v>
      </c>
      <c r="D24" s="134">
        <v>40</v>
      </c>
      <c r="E24" s="124"/>
      <c r="F24" s="334"/>
      <c r="G24" s="130"/>
      <c r="H24" s="130"/>
      <c r="I24" s="130"/>
      <c r="J24" s="130"/>
      <c r="K24" s="130"/>
      <c r="L24" s="130"/>
      <c r="M24" s="130"/>
      <c r="N24" s="130"/>
      <c r="O24" s="130"/>
    </row>
    <row r="25" spans="1:15" ht="24" customHeight="1" x14ac:dyDescent="0.25">
      <c r="A25" s="115"/>
      <c r="B25" s="128" t="s">
        <v>242</v>
      </c>
      <c r="C25" s="145" t="s">
        <v>49</v>
      </c>
      <c r="D25" s="134">
        <v>6</v>
      </c>
      <c r="E25" s="124"/>
      <c r="F25" s="337"/>
      <c r="G25" s="130"/>
      <c r="H25" s="130"/>
      <c r="I25" s="130"/>
      <c r="J25" s="130"/>
      <c r="K25" s="130"/>
      <c r="L25" s="130"/>
      <c r="M25" s="130"/>
      <c r="N25" s="130"/>
      <c r="O25" s="130"/>
    </row>
    <row r="26" spans="1:15" ht="24" customHeight="1" x14ac:dyDescent="0.25">
      <c r="A26" s="115"/>
      <c r="B26" s="128" t="s">
        <v>234</v>
      </c>
      <c r="C26" s="145" t="s">
        <v>49</v>
      </c>
      <c r="D26" s="134">
        <v>30</v>
      </c>
      <c r="E26" s="124"/>
      <c r="F26" s="338"/>
      <c r="G26" s="130"/>
      <c r="H26" s="130"/>
      <c r="I26" s="130"/>
      <c r="J26" s="130"/>
      <c r="K26" s="130"/>
      <c r="L26" s="130"/>
      <c r="M26" s="130"/>
      <c r="N26" s="130"/>
      <c r="O26" s="130"/>
    </row>
    <row r="27" spans="1:15" ht="23" customHeight="1" x14ac:dyDescent="0.25">
      <c r="A27" s="115"/>
      <c r="B27" s="128" t="s">
        <v>233</v>
      </c>
      <c r="C27" s="145" t="s">
        <v>49</v>
      </c>
      <c r="D27" s="134"/>
      <c r="E27" s="124"/>
      <c r="F27" s="334"/>
      <c r="G27" s="130"/>
      <c r="H27" s="130"/>
      <c r="I27" s="130"/>
      <c r="J27" s="130"/>
      <c r="K27" s="130"/>
      <c r="L27" s="130"/>
      <c r="M27" s="130"/>
      <c r="N27" s="130"/>
      <c r="O27" s="130"/>
    </row>
    <row r="28" spans="1:15" ht="37.5" x14ac:dyDescent="0.25">
      <c r="A28" s="115"/>
      <c r="B28" s="130" t="s">
        <v>261</v>
      </c>
      <c r="C28" s="309" t="s">
        <v>251</v>
      </c>
      <c r="D28" s="133">
        <f>IF(((SUM(D18:D27)*D14))&lt;=(D12*D11),((SUM(D18:D27)*D14)),"ERROR")</f>
        <v>950626.56000000017</v>
      </c>
      <c r="E28" s="124"/>
      <c r="F28" s="339" t="s">
        <v>284</v>
      </c>
      <c r="G28" s="130"/>
      <c r="H28" s="130"/>
      <c r="I28" s="130"/>
      <c r="J28" s="130"/>
      <c r="K28" s="130"/>
      <c r="L28" s="130"/>
      <c r="M28" s="130"/>
      <c r="N28" s="130"/>
      <c r="O28" s="130"/>
    </row>
    <row r="29" spans="1:15" ht="50" x14ac:dyDescent="0.25">
      <c r="A29" s="115"/>
      <c r="B29" s="137" t="s">
        <v>268</v>
      </c>
      <c r="C29" s="136"/>
      <c r="D29" s="136"/>
      <c r="E29" s="124"/>
      <c r="F29" s="340" t="s">
        <v>292</v>
      </c>
      <c r="G29" s="130"/>
      <c r="H29" s="130"/>
      <c r="I29" s="130"/>
      <c r="J29" s="130"/>
      <c r="K29" s="130"/>
      <c r="L29" s="130"/>
      <c r="M29" s="130"/>
      <c r="N29" s="130"/>
      <c r="O29" s="130"/>
    </row>
    <row r="30" spans="1:15" ht="35" customHeight="1" x14ac:dyDescent="0.25">
      <c r="A30" s="115"/>
      <c r="B30" s="128" t="s">
        <v>240</v>
      </c>
      <c r="C30" s="145" t="s">
        <v>49</v>
      </c>
      <c r="D30" s="134"/>
      <c r="E30" s="124"/>
      <c r="F30" s="341"/>
      <c r="G30" s="130"/>
      <c r="H30" s="130"/>
      <c r="I30" s="130"/>
      <c r="J30" s="130"/>
      <c r="K30" s="130"/>
      <c r="L30" s="130"/>
      <c r="M30" s="130"/>
      <c r="N30" s="130"/>
      <c r="O30" s="130"/>
    </row>
    <row r="31" spans="1:15" ht="30" customHeight="1" x14ac:dyDescent="0.25">
      <c r="A31" s="115"/>
      <c r="B31" s="128" t="s">
        <v>229</v>
      </c>
      <c r="C31" s="145" t="s">
        <v>49</v>
      </c>
      <c r="D31" s="134"/>
      <c r="E31" s="124"/>
      <c r="F31" s="341"/>
      <c r="G31" s="130"/>
      <c r="H31" s="130"/>
      <c r="I31" s="130"/>
      <c r="J31" s="130"/>
      <c r="K31" s="130"/>
      <c r="L31" s="130"/>
      <c r="M31" s="130"/>
      <c r="N31" s="130"/>
      <c r="O31" s="130"/>
    </row>
    <row r="32" spans="1:15" ht="24" customHeight="1" x14ac:dyDescent="0.25">
      <c r="A32" s="115"/>
      <c r="B32" s="128" t="s">
        <v>230</v>
      </c>
      <c r="C32" s="145" t="s">
        <v>49</v>
      </c>
      <c r="D32" s="134"/>
      <c r="E32" s="124"/>
      <c r="F32" s="339"/>
      <c r="G32" s="130"/>
      <c r="H32" s="130"/>
      <c r="I32" s="130"/>
      <c r="J32" s="130"/>
      <c r="K32" s="130"/>
      <c r="L32" s="130"/>
      <c r="M32" s="130"/>
      <c r="N32" s="130"/>
      <c r="O32" s="130"/>
    </row>
    <row r="33" spans="1:28" ht="24" customHeight="1" x14ac:dyDescent="0.25">
      <c r="A33" s="115"/>
      <c r="B33" s="128" t="s">
        <v>241</v>
      </c>
      <c r="C33" s="145" t="s">
        <v>49</v>
      </c>
      <c r="D33" s="134"/>
      <c r="E33" s="124"/>
      <c r="F33" s="339"/>
      <c r="G33" s="130"/>
      <c r="H33" s="130"/>
      <c r="I33" s="130"/>
      <c r="J33" s="130"/>
      <c r="K33" s="130"/>
      <c r="L33" s="130"/>
      <c r="M33" s="130"/>
      <c r="N33" s="130"/>
      <c r="O33" s="130"/>
    </row>
    <row r="34" spans="1:28" ht="24" customHeight="1" x14ac:dyDescent="0.25">
      <c r="A34" s="115"/>
      <c r="B34" s="128" t="s">
        <v>17</v>
      </c>
      <c r="C34" s="145" t="s">
        <v>49</v>
      </c>
      <c r="D34" s="134">
        <v>20</v>
      </c>
      <c r="E34" s="124"/>
      <c r="F34" s="353"/>
      <c r="G34" s="130"/>
      <c r="H34" s="130"/>
      <c r="I34" s="130"/>
      <c r="J34" s="130"/>
      <c r="K34" s="130"/>
      <c r="L34" s="130"/>
      <c r="M34" s="130"/>
      <c r="N34" s="130"/>
      <c r="O34" s="130"/>
    </row>
    <row r="35" spans="1:28" ht="33.65" customHeight="1" x14ac:dyDescent="0.25">
      <c r="A35" s="115"/>
      <c r="B35" s="128" t="s">
        <v>231</v>
      </c>
      <c r="C35" s="145" t="s">
        <v>49</v>
      </c>
      <c r="D35" s="134"/>
      <c r="E35" s="124"/>
      <c r="F35" s="353"/>
      <c r="G35" s="130"/>
      <c r="H35" s="130"/>
      <c r="I35" s="130"/>
      <c r="J35" s="130"/>
      <c r="K35" s="130"/>
      <c r="L35" s="130"/>
      <c r="M35" s="130"/>
      <c r="N35" s="130"/>
      <c r="O35" s="130"/>
    </row>
    <row r="36" spans="1:28" ht="33.65" customHeight="1" x14ac:dyDescent="0.25">
      <c r="A36" s="115"/>
      <c r="B36" s="128" t="s">
        <v>232</v>
      </c>
      <c r="C36" s="145" t="s">
        <v>49</v>
      </c>
      <c r="D36" s="134"/>
      <c r="E36" s="124"/>
      <c r="F36" s="339"/>
      <c r="G36" s="130"/>
      <c r="H36" s="130"/>
      <c r="I36" s="130"/>
      <c r="J36" s="130"/>
      <c r="K36" s="130"/>
      <c r="L36" s="130"/>
      <c r="M36" s="130"/>
      <c r="N36" s="130"/>
      <c r="O36" s="130"/>
    </row>
    <row r="37" spans="1:28" ht="29.4" customHeight="1" x14ac:dyDescent="0.25">
      <c r="A37" s="115"/>
      <c r="B37" s="128" t="s">
        <v>242</v>
      </c>
      <c r="C37" s="145" t="s">
        <v>49</v>
      </c>
      <c r="D37" s="134"/>
      <c r="E37" s="124"/>
      <c r="F37" s="339"/>
      <c r="G37" s="130"/>
      <c r="H37" s="130"/>
      <c r="I37" s="130"/>
      <c r="J37" s="130"/>
      <c r="K37" s="130"/>
      <c r="L37" s="130"/>
      <c r="M37" s="130"/>
      <c r="N37" s="130"/>
      <c r="O37" s="130"/>
    </row>
    <row r="38" spans="1:28" ht="24" customHeight="1" x14ac:dyDescent="0.25">
      <c r="A38" s="115"/>
      <c r="B38" s="128" t="s">
        <v>234</v>
      </c>
      <c r="C38" s="145" t="s">
        <v>49</v>
      </c>
      <c r="D38" s="134"/>
      <c r="E38" s="124"/>
      <c r="F38" s="339"/>
      <c r="G38" s="130"/>
      <c r="H38" s="130"/>
      <c r="I38" s="130"/>
      <c r="J38" s="130"/>
      <c r="K38" s="130"/>
      <c r="L38" s="130"/>
      <c r="M38" s="130"/>
      <c r="N38" s="130"/>
      <c r="O38" s="130"/>
    </row>
    <row r="39" spans="1:28" ht="24" customHeight="1" x14ac:dyDescent="0.25">
      <c r="A39" s="115"/>
      <c r="B39" s="128" t="s">
        <v>233</v>
      </c>
      <c r="C39" s="145" t="s">
        <v>49</v>
      </c>
      <c r="D39" s="134"/>
      <c r="E39" s="124"/>
      <c r="F39" s="339"/>
      <c r="G39" s="130"/>
      <c r="H39" s="130"/>
      <c r="I39" s="130"/>
      <c r="J39" s="130"/>
      <c r="K39" s="130"/>
      <c r="L39" s="130"/>
      <c r="M39" s="130"/>
      <c r="N39" s="130"/>
      <c r="O39" s="130"/>
    </row>
    <row r="40" spans="1:28" ht="24" customHeight="1" x14ac:dyDescent="0.25">
      <c r="A40" s="115"/>
      <c r="B40" s="128" t="s">
        <v>58</v>
      </c>
      <c r="C40" s="145" t="s">
        <v>49</v>
      </c>
      <c r="D40" s="134">
        <v>50</v>
      </c>
      <c r="E40" s="124"/>
      <c r="F40" s="339"/>
      <c r="G40" s="130"/>
      <c r="H40" s="130"/>
      <c r="I40" s="130"/>
      <c r="J40" s="130"/>
      <c r="K40" s="130"/>
      <c r="L40" s="130"/>
      <c r="M40" s="130"/>
      <c r="N40" s="130"/>
      <c r="O40" s="130"/>
    </row>
    <row r="41" spans="1:28" ht="24" customHeight="1" x14ac:dyDescent="0.25">
      <c r="A41" s="115"/>
      <c r="B41" s="121" t="s">
        <v>212</v>
      </c>
      <c r="C41" s="121"/>
      <c r="D41" s="121"/>
      <c r="E41" s="124"/>
      <c r="F41" s="340"/>
      <c r="G41" s="130"/>
      <c r="H41" s="130"/>
      <c r="I41" s="130"/>
      <c r="J41" s="130"/>
      <c r="K41" s="130"/>
      <c r="L41" s="130"/>
      <c r="M41" s="130"/>
      <c r="N41" s="130"/>
      <c r="O41" s="130"/>
    </row>
    <row r="42" spans="1:28" s="45" customFormat="1" ht="24" customHeight="1" x14ac:dyDescent="0.25">
      <c r="A42" s="112"/>
      <c r="B42" s="113" t="s">
        <v>36</v>
      </c>
      <c r="C42" s="146" t="s">
        <v>66</v>
      </c>
      <c r="D42" s="141">
        <v>4.4999999999999998E-2</v>
      </c>
      <c r="E42" s="124"/>
      <c r="F42" s="354" t="s">
        <v>269</v>
      </c>
      <c r="G42" s="303"/>
      <c r="H42" s="303"/>
      <c r="I42" s="303"/>
      <c r="J42" s="303"/>
      <c r="K42" s="303"/>
      <c r="L42" s="303"/>
      <c r="M42" s="303"/>
      <c r="N42" s="303"/>
      <c r="O42" s="303"/>
    </row>
    <row r="43" spans="1:28" s="45" customFormat="1" ht="24" customHeight="1" x14ac:dyDescent="0.25">
      <c r="A43" s="112"/>
      <c r="B43" s="113" t="s">
        <v>144</v>
      </c>
      <c r="C43" s="146" t="s">
        <v>66</v>
      </c>
      <c r="D43" s="141">
        <v>0.03</v>
      </c>
      <c r="E43" s="124"/>
      <c r="F43" s="354"/>
      <c r="G43" s="303"/>
      <c r="H43" s="303"/>
      <c r="I43" s="303"/>
      <c r="J43" s="303"/>
      <c r="K43" s="303"/>
      <c r="L43" s="303"/>
      <c r="M43" s="303"/>
      <c r="N43" s="303"/>
      <c r="O43" s="303"/>
    </row>
    <row r="44" spans="1:28" s="112" customFormat="1" ht="25" x14ac:dyDescent="0.3">
      <c r="B44" s="113" t="s">
        <v>37</v>
      </c>
      <c r="C44" s="146" t="s">
        <v>66</v>
      </c>
      <c r="D44" s="278">
        <v>0.5</v>
      </c>
      <c r="E44" s="124"/>
      <c r="F44" s="342" t="s">
        <v>270</v>
      </c>
      <c r="G44" s="303"/>
      <c r="H44" s="303"/>
      <c r="I44" s="303"/>
      <c r="J44" s="303"/>
      <c r="K44" s="303"/>
      <c r="L44" s="303"/>
      <c r="M44" s="303"/>
      <c r="N44" s="303"/>
      <c r="O44" s="303"/>
    </row>
    <row r="45" spans="1:28" s="115" customFormat="1" ht="26" customHeight="1" x14ac:dyDescent="0.3">
      <c r="B45" s="115" t="s">
        <v>39</v>
      </c>
      <c r="C45" s="129" t="s">
        <v>5</v>
      </c>
      <c r="D45" s="144">
        <f>WACC!E10</f>
        <v>8.3837877040919176E-2</v>
      </c>
      <c r="E45" s="124"/>
      <c r="F45" s="356" t="s">
        <v>271</v>
      </c>
      <c r="G45" s="130"/>
      <c r="H45" s="130"/>
      <c r="I45" s="130"/>
      <c r="J45" s="130"/>
      <c r="K45" s="130"/>
      <c r="L45" s="130"/>
      <c r="M45" s="130"/>
      <c r="N45" s="130"/>
      <c r="O45" s="130"/>
    </row>
    <row r="46" spans="1:28" s="32" customFormat="1" ht="24" customHeight="1" x14ac:dyDescent="0.3">
      <c r="A46" s="120"/>
      <c r="B46" s="121" t="s">
        <v>213</v>
      </c>
      <c r="C46" s="121"/>
      <c r="D46" s="121"/>
      <c r="E46" s="124"/>
      <c r="F46" s="356"/>
      <c r="G46" s="305"/>
      <c r="H46" s="305"/>
      <c r="I46" s="305"/>
      <c r="J46" s="305"/>
      <c r="K46" s="305"/>
      <c r="L46" s="305"/>
      <c r="M46" s="305"/>
      <c r="N46" s="305"/>
      <c r="O46" s="305"/>
      <c r="P46" s="33"/>
      <c r="Q46" s="33"/>
      <c r="R46" s="33"/>
      <c r="S46" s="33"/>
      <c r="T46" s="33"/>
      <c r="U46" s="33"/>
      <c r="V46" s="33"/>
      <c r="W46" s="33"/>
      <c r="X46" s="33"/>
      <c r="Y46" s="33"/>
      <c r="Z46" s="33"/>
      <c r="AA46" s="33"/>
      <c r="AB46" s="33"/>
    </row>
    <row r="47" spans="1:28" ht="37.5" x14ac:dyDescent="0.25">
      <c r="A47" s="115"/>
      <c r="B47" s="130" t="s">
        <v>125</v>
      </c>
      <c r="C47" s="116" t="s">
        <v>9</v>
      </c>
      <c r="D47" s="134">
        <v>5</v>
      </c>
      <c r="E47" s="124"/>
      <c r="F47" s="340" t="s">
        <v>211</v>
      </c>
      <c r="G47" s="130"/>
      <c r="H47" s="130"/>
      <c r="I47" s="130"/>
      <c r="J47" s="130"/>
      <c r="K47" s="130"/>
      <c r="L47" s="130"/>
      <c r="M47" s="130"/>
      <c r="N47" s="130"/>
      <c r="O47" s="130"/>
    </row>
    <row r="48" spans="1:28" ht="24" customHeight="1" x14ac:dyDescent="0.25">
      <c r="A48" s="115"/>
      <c r="B48" s="130" t="s">
        <v>124</v>
      </c>
      <c r="C48" s="245" t="s">
        <v>9</v>
      </c>
      <c r="D48" s="133">
        <f>D47*D15</f>
        <v>60</v>
      </c>
      <c r="E48" s="124"/>
      <c r="F48" s="340" t="s">
        <v>200</v>
      </c>
      <c r="G48" s="130"/>
      <c r="H48" s="130"/>
      <c r="I48" s="130"/>
      <c r="J48" s="130"/>
      <c r="K48" s="130"/>
      <c r="L48" s="130"/>
      <c r="M48" s="130"/>
      <c r="N48" s="130"/>
      <c r="O48" s="130"/>
    </row>
    <row r="49" spans="1:28" ht="24" customHeight="1" x14ac:dyDescent="0.25">
      <c r="A49" s="115"/>
      <c r="B49" s="115" t="s">
        <v>201</v>
      </c>
      <c r="C49" s="116" t="s">
        <v>13</v>
      </c>
      <c r="D49" s="279">
        <v>50</v>
      </c>
      <c r="E49" s="124"/>
      <c r="F49" s="340" t="s">
        <v>217</v>
      </c>
      <c r="G49" s="130"/>
      <c r="H49" s="130"/>
      <c r="I49" s="130"/>
      <c r="J49" s="130"/>
      <c r="K49" s="130"/>
      <c r="L49" s="130"/>
      <c r="M49" s="130"/>
      <c r="N49" s="130"/>
      <c r="O49" s="130"/>
    </row>
    <row r="50" spans="1:28" ht="34.25" customHeight="1" x14ac:dyDescent="0.25">
      <c r="A50" s="115"/>
      <c r="B50" s="115" t="s">
        <v>15</v>
      </c>
      <c r="C50" s="116" t="s">
        <v>5</v>
      </c>
      <c r="D50" s="143">
        <v>0.97</v>
      </c>
      <c r="E50" s="124"/>
      <c r="F50" s="357" t="s">
        <v>218</v>
      </c>
      <c r="G50" s="130"/>
      <c r="H50" s="130"/>
      <c r="I50" s="130"/>
      <c r="J50" s="130"/>
      <c r="K50" s="130"/>
      <c r="L50" s="130"/>
      <c r="M50" s="130"/>
      <c r="N50" s="130"/>
      <c r="O50" s="130"/>
    </row>
    <row r="51" spans="1:28" s="32" customFormat="1" ht="24" customHeight="1" x14ac:dyDescent="0.3">
      <c r="A51" s="120"/>
      <c r="B51" s="121" t="s">
        <v>214</v>
      </c>
      <c r="C51" s="121"/>
      <c r="D51" s="140"/>
      <c r="E51" s="124"/>
      <c r="F51" s="357"/>
      <c r="G51" s="305"/>
      <c r="H51" s="305"/>
      <c r="I51" s="305"/>
      <c r="J51" s="305"/>
      <c r="K51" s="305"/>
      <c r="L51" s="305"/>
      <c r="M51" s="305"/>
      <c r="N51" s="305"/>
      <c r="O51" s="305"/>
      <c r="P51" s="33"/>
      <c r="Q51" s="33"/>
      <c r="R51" s="33"/>
      <c r="S51" s="33"/>
      <c r="T51" s="33"/>
      <c r="U51" s="33"/>
      <c r="V51" s="33"/>
      <c r="W51" s="33"/>
      <c r="X51" s="33"/>
      <c r="Y51" s="33"/>
      <c r="Z51" s="33"/>
      <c r="AA51" s="33"/>
      <c r="AB51" s="33"/>
    </row>
    <row r="52" spans="1:28" ht="27" customHeight="1" x14ac:dyDescent="0.25">
      <c r="A52" s="115"/>
      <c r="B52" s="115" t="s">
        <v>196</v>
      </c>
      <c r="C52" s="285" t="s">
        <v>152</v>
      </c>
      <c r="D52" s="134">
        <v>24</v>
      </c>
      <c r="E52" s="124"/>
      <c r="F52" s="343" t="s">
        <v>202</v>
      </c>
      <c r="G52" s="130"/>
      <c r="H52" s="130"/>
      <c r="I52" s="130"/>
      <c r="J52" s="130"/>
      <c r="K52" s="130"/>
      <c r="L52" s="130"/>
      <c r="M52" s="130"/>
      <c r="N52" s="130"/>
      <c r="O52" s="130"/>
    </row>
    <row r="53" spans="1:28" ht="24" customHeight="1" x14ac:dyDescent="0.25">
      <c r="A53" s="115"/>
      <c r="B53" s="115" t="s">
        <v>196</v>
      </c>
      <c r="C53" s="116" t="s">
        <v>13</v>
      </c>
      <c r="D53" s="289">
        <f>D52/12</f>
        <v>2</v>
      </c>
      <c r="E53" s="124"/>
      <c r="F53" s="343" t="s">
        <v>203</v>
      </c>
      <c r="G53" s="130"/>
      <c r="H53" s="130"/>
      <c r="I53" s="130"/>
      <c r="J53" s="130"/>
      <c r="K53" s="130"/>
      <c r="L53" s="130"/>
      <c r="M53" s="130"/>
      <c r="N53" s="130"/>
      <c r="O53" s="130"/>
    </row>
    <row r="54" spans="1:28" ht="24" customHeight="1" x14ac:dyDescent="0.25">
      <c r="A54" s="115"/>
      <c r="B54" s="115" t="s">
        <v>20</v>
      </c>
      <c r="C54" s="116" t="s">
        <v>150</v>
      </c>
      <c r="D54" s="288">
        <f>100%/D52</f>
        <v>4.1666666666666664E-2</v>
      </c>
      <c r="E54" s="124"/>
      <c r="F54" s="343" t="s">
        <v>204</v>
      </c>
      <c r="G54" s="130"/>
      <c r="H54" s="130"/>
      <c r="I54" s="130"/>
      <c r="J54" s="130"/>
      <c r="K54" s="130"/>
      <c r="L54" s="130"/>
      <c r="M54" s="130"/>
      <c r="N54" s="130"/>
      <c r="O54" s="130"/>
    </row>
    <row r="55" spans="1:28" s="112" customFormat="1" ht="24" customHeight="1" x14ac:dyDescent="0.3">
      <c r="C55" s="117"/>
      <c r="D55" s="124"/>
      <c r="E55" s="124"/>
      <c r="F55" s="342"/>
      <c r="G55" s="303"/>
      <c r="H55" s="303"/>
      <c r="I55" s="303"/>
      <c r="J55" s="303"/>
      <c r="K55" s="303"/>
      <c r="L55" s="303"/>
      <c r="M55" s="303"/>
      <c r="N55" s="303"/>
      <c r="O55" s="303"/>
    </row>
    <row r="56" spans="1:28" ht="24" customHeight="1" x14ac:dyDescent="0.25">
      <c r="A56" s="115"/>
      <c r="B56" s="137" t="s">
        <v>260</v>
      </c>
      <c r="C56" s="139"/>
      <c r="D56" s="138"/>
      <c r="E56" s="124"/>
      <c r="F56" s="340"/>
      <c r="G56" s="130"/>
      <c r="H56" s="130"/>
      <c r="I56" s="130"/>
      <c r="J56" s="130"/>
      <c r="K56" s="130"/>
      <c r="L56" s="130"/>
      <c r="M56" s="130"/>
      <c r="N56" s="130"/>
      <c r="O56" s="130"/>
    </row>
    <row r="57" spans="1:28" ht="24" customHeight="1" x14ac:dyDescent="0.25">
      <c r="A57" s="115"/>
      <c r="B57" s="128" t="s">
        <v>205</v>
      </c>
      <c r="C57" s="116" t="s">
        <v>5</v>
      </c>
      <c r="D57" s="141">
        <v>2.7E-2</v>
      </c>
      <c r="E57" s="124"/>
      <c r="F57" s="354" t="s">
        <v>293</v>
      </c>
      <c r="G57" s="130"/>
      <c r="H57" s="130"/>
      <c r="I57" s="130"/>
      <c r="J57" s="130"/>
      <c r="K57" s="130"/>
      <c r="L57" s="130"/>
      <c r="M57" s="130"/>
      <c r="N57" s="130"/>
      <c r="O57" s="130"/>
    </row>
    <row r="58" spans="1:28" ht="24" customHeight="1" x14ac:dyDescent="0.25">
      <c r="A58" s="115"/>
      <c r="B58" s="128" t="s">
        <v>14</v>
      </c>
      <c r="C58" s="116" t="s">
        <v>13</v>
      </c>
      <c r="D58" s="134">
        <v>30</v>
      </c>
      <c r="E58" s="124"/>
      <c r="F58" s="354"/>
      <c r="G58" s="130"/>
      <c r="H58" s="130"/>
      <c r="I58" s="130"/>
      <c r="J58" s="130"/>
      <c r="K58" s="130"/>
      <c r="L58" s="130"/>
      <c r="M58" s="130"/>
      <c r="N58" s="130"/>
      <c r="O58" s="130"/>
    </row>
    <row r="59" spans="1:28" ht="24" customHeight="1" x14ac:dyDescent="0.25">
      <c r="A59" s="115"/>
      <c r="B59" s="128" t="s">
        <v>209</v>
      </c>
      <c r="C59" s="301" t="s">
        <v>13</v>
      </c>
      <c r="D59" s="134">
        <v>10</v>
      </c>
      <c r="E59" s="124"/>
      <c r="F59" s="354"/>
      <c r="G59" s="130"/>
      <c r="H59" s="130"/>
      <c r="I59" s="130"/>
      <c r="J59" s="130"/>
      <c r="K59" s="130"/>
      <c r="L59" s="130"/>
      <c r="M59" s="130"/>
      <c r="N59" s="130"/>
      <c r="O59" s="130"/>
    </row>
    <row r="60" spans="1:28" ht="24" customHeight="1" x14ac:dyDescent="0.25">
      <c r="A60" s="115"/>
      <c r="B60" s="137" t="s">
        <v>259</v>
      </c>
      <c r="C60" s="139"/>
      <c r="D60" s="138"/>
      <c r="E60" s="124"/>
      <c r="F60" s="354"/>
      <c r="G60" s="130"/>
      <c r="H60" s="130"/>
      <c r="I60" s="130"/>
      <c r="J60" s="130"/>
      <c r="K60" s="130"/>
      <c r="L60" s="130"/>
      <c r="M60" s="130"/>
      <c r="N60" s="130"/>
      <c r="O60" s="130"/>
    </row>
    <row r="61" spans="1:28" ht="24" customHeight="1" x14ac:dyDescent="0.25">
      <c r="A61" s="115"/>
      <c r="B61" s="128" t="s">
        <v>205</v>
      </c>
      <c r="C61" s="301" t="s">
        <v>5</v>
      </c>
      <c r="D61" s="141">
        <v>0.03</v>
      </c>
      <c r="E61" s="124"/>
      <c r="F61" s="354"/>
      <c r="G61" s="130"/>
      <c r="H61" s="130"/>
      <c r="I61" s="130"/>
      <c r="J61" s="130"/>
      <c r="K61" s="130"/>
      <c r="L61" s="130"/>
      <c r="M61" s="130"/>
      <c r="N61" s="130"/>
      <c r="O61" s="130"/>
    </row>
    <row r="62" spans="1:28" ht="24" customHeight="1" x14ac:dyDescent="0.25">
      <c r="A62" s="115"/>
      <c r="B62" s="128" t="s">
        <v>14</v>
      </c>
      <c r="C62" s="301" t="s">
        <v>13</v>
      </c>
      <c r="D62" s="134">
        <v>15</v>
      </c>
      <c r="E62" s="124"/>
      <c r="F62" s="354"/>
      <c r="G62" s="130"/>
      <c r="H62" s="130"/>
      <c r="I62" s="130"/>
      <c r="J62" s="130"/>
      <c r="K62" s="130"/>
      <c r="L62" s="130"/>
      <c r="M62" s="130"/>
      <c r="N62" s="130"/>
      <c r="O62" s="130"/>
    </row>
    <row r="63" spans="1:28" ht="24" customHeight="1" x14ac:dyDescent="0.25">
      <c r="A63" s="115"/>
      <c r="B63" s="128" t="s">
        <v>209</v>
      </c>
      <c r="C63" s="301" t="s">
        <v>13</v>
      </c>
      <c r="D63" s="134">
        <v>10</v>
      </c>
      <c r="E63" s="124"/>
      <c r="F63" s="354"/>
      <c r="G63" s="130"/>
      <c r="H63" s="130"/>
      <c r="I63" s="130"/>
      <c r="J63" s="130"/>
      <c r="K63" s="130"/>
      <c r="L63" s="130"/>
      <c r="M63" s="130"/>
      <c r="N63" s="130"/>
      <c r="O63" s="130"/>
    </row>
    <row r="64" spans="1:28" ht="24" customHeight="1" x14ac:dyDescent="0.25">
      <c r="A64" s="115"/>
      <c r="B64" s="137" t="s">
        <v>12</v>
      </c>
      <c r="C64" s="138"/>
      <c r="D64" s="138"/>
      <c r="E64" s="124"/>
      <c r="F64" s="354"/>
      <c r="G64" s="130"/>
      <c r="H64" s="130"/>
      <c r="I64" s="130"/>
      <c r="J64" s="130"/>
      <c r="K64" s="130"/>
      <c r="L64" s="130"/>
      <c r="M64" s="130"/>
      <c r="N64" s="130"/>
      <c r="O64" s="130"/>
    </row>
    <row r="65" spans="1:28" ht="24" customHeight="1" x14ac:dyDescent="0.25">
      <c r="A65" s="115"/>
      <c r="B65" s="128" t="s">
        <v>205</v>
      </c>
      <c r="C65" s="116" t="s">
        <v>5</v>
      </c>
      <c r="D65" s="141">
        <v>3.5000000000000003E-2</v>
      </c>
      <c r="E65" s="124"/>
      <c r="F65" s="354"/>
      <c r="G65" s="130"/>
      <c r="H65" s="130"/>
      <c r="I65" s="130"/>
      <c r="J65" s="130"/>
      <c r="K65" s="130"/>
      <c r="L65" s="130"/>
      <c r="M65" s="130"/>
      <c r="N65" s="130"/>
      <c r="O65" s="130"/>
    </row>
    <row r="66" spans="1:28" ht="24" customHeight="1" x14ac:dyDescent="0.25">
      <c r="A66" s="115"/>
      <c r="B66" s="128" t="s">
        <v>14</v>
      </c>
      <c r="C66" s="116" t="s">
        <v>13</v>
      </c>
      <c r="D66" s="134">
        <v>15</v>
      </c>
      <c r="E66" s="124"/>
      <c r="F66" s="354"/>
      <c r="G66" s="130"/>
      <c r="H66" s="130"/>
      <c r="I66" s="130"/>
      <c r="J66" s="130"/>
      <c r="K66" s="130"/>
      <c r="L66" s="130"/>
      <c r="M66" s="130"/>
      <c r="N66" s="130"/>
      <c r="O66" s="130"/>
    </row>
    <row r="67" spans="1:28" ht="24" customHeight="1" x14ac:dyDescent="0.25">
      <c r="A67" s="115"/>
      <c r="B67" s="128" t="s">
        <v>209</v>
      </c>
      <c r="C67" s="301" t="s">
        <v>13</v>
      </c>
      <c r="D67" s="134">
        <v>5</v>
      </c>
      <c r="E67" s="124"/>
      <c r="F67" s="344"/>
      <c r="G67" s="130"/>
      <c r="H67" s="130"/>
      <c r="I67" s="130"/>
      <c r="J67" s="130"/>
      <c r="K67" s="130"/>
      <c r="L67" s="130"/>
      <c r="M67" s="130"/>
      <c r="N67" s="130"/>
      <c r="O67" s="130"/>
    </row>
    <row r="68" spans="1:28" s="32" customFormat="1" ht="24" customHeight="1" x14ac:dyDescent="0.3">
      <c r="A68" s="120"/>
      <c r="B68" s="121" t="s">
        <v>215</v>
      </c>
      <c r="C68" s="121"/>
      <c r="D68" s="140"/>
      <c r="E68" s="124"/>
      <c r="F68" s="345"/>
      <c r="G68" s="305"/>
      <c r="H68" s="305"/>
      <c r="I68" s="305"/>
      <c r="J68" s="305"/>
      <c r="K68" s="305"/>
      <c r="L68" s="305"/>
      <c r="M68" s="305"/>
      <c r="N68" s="305"/>
      <c r="O68" s="305"/>
      <c r="P68" s="33"/>
      <c r="Q68" s="33"/>
      <c r="R68" s="33"/>
      <c r="S68" s="33"/>
      <c r="T68" s="33"/>
      <c r="U68" s="33"/>
      <c r="V68" s="33"/>
      <c r="W68" s="33"/>
      <c r="X68" s="33"/>
      <c r="Y68" s="33"/>
      <c r="Z68" s="33"/>
      <c r="AA68" s="33"/>
      <c r="AB68" s="33"/>
    </row>
    <row r="69" spans="1:28" ht="24" customHeight="1" x14ac:dyDescent="0.25">
      <c r="A69" s="115"/>
      <c r="B69" s="137" t="s">
        <v>103</v>
      </c>
      <c r="C69" s="138"/>
      <c r="D69" s="138"/>
      <c r="E69" s="124"/>
      <c r="F69" s="340"/>
      <c r="G69" s="130"/>
      <c r="H69" s="130"/>
      <c r="I69" s="130"/>
      <c r="J69" s="130"/>
      <c r="K69" s="130"/>
      <c r="L69" s="130"/>
      <c r="M69" s="130"/>
      <c r="N69" s="130"/>
      <c r="O69" s="130"/>
    </row>
    <row r="70" spans="1:28" ht="31.25" customHeight="1" x14ac:dyDescent="0.25">
      <c r="A70" s="115"/>
      <c r="B70" s="115" t="s">
        <v>119</v>
      </c>
      <c r="C70" s="116" t="s">
        <v>5</v>
      </c>
      <c r="D70" s="142">
        <v>0.05</v>
      </c>
      <c r="E70" s="124"/>
      <c r="F70" s="340" t="s">
        <v>210</v>
      </c>
      <c r="G70" s="130"/>
      <c r="H70" s="130"/>
      <c r="I70" s="130"/>
      <c r="J70" s="130"/>
      <c r="K70" s="130"/>
      <c r="L70" s="130"/>
      <c r="M70" s="130"/>
      <c r="N70" s="130"/>
      <c r="O70" s="130"/>
    </row>
    <row r="71" spans="1:28" ht="24" customHeight="1" x14ac:dyDescent="0.25">
      <c r="A71" s="115"/>
      <c r="B71" s="115" t="s">
        <v>120</v>
      </c>
      <c r="C71" s="116" t="s">
        <v>5</v>
      </c>
      <c r="D71" s="142">
        <v>0.05</v>
      </c>
      <c r="E71" s="124"/>
      <c r="F71" s="340" t="s">
        <v>272</v>
      </c>
      <c r="G71" s="130"/>
      <c r="H71" s="130"/>
      <c r="I71" s="130"/>
      <c r="J71" s="130"/>
      <c r="K71" s="130"/>
      <c r="L71" s="130"/>
      <c r="M71" s="130"/>
      <c r="N71" s="130"/>
      <c r="O71" s="130"/>
    </row>
    <row r="72" spans="1:28" ht="24" customHeight="1" x14ac:dyDescent="0.25">
      <c r="A72" s="115"/>
      <c r="B72" s="137" t="s">
        <v>104</v>
      </c>
      <c r="C72" s="138"/>
      <c r="D72" s="138"/>
      <c r="E72" s="124"/>
      <c r="F72" s="340"/>
      <c r="G72" s="130"/>
      <c r="H72" s="130"/>
      <c r="I72" s="130"/>
      <c r="J72" s="130"/>
      <c r="K72" s="130"/>
      <c r="L72" s="130"/>
      <c r="M72" s="130"/>
      <c r="N72" s="130"/>
      <c r="O72" s="130"/>
    </row>
    <row r="73" spans="1:28" ht="24" customHeight="1" x14ac:dyDescent="0.25">
      <c r="A73" s="115"/>
      <c r="B73" s="115" t="s">
        <v>207</v>
      </c>
      <c r="C73" s="116" t="s">
        <v>5</v>
      </c>
      <c r="D73" s="142">
        <v>0.9</v>
      </c>
      <c r="E73" s="124"/>
      <c r="F73" s="355" t="s">
        <v>279</v>
      </c>
      <c r="G73" s="130"/>
      <c r="H73" s="130"/>
      <c r="I73" s="130"/>
      <c r="J73" s="130"/>
      <c r="K73" s="130"/>
      <c r="L73" s="130"/>
      <c r="M73" s="130"/>
      <c r="N73" s="130"/>
      <c r="O73" s="130"/>
    </row>
    <row r="74" spans="1:28" ht="24" customHeight="1" x14ac:dyDescent="0.25">
      <c r="A74" s="115"/>
      <c r="B74" s="115" t="s">
        <v>247</v>
      </c>
      <c r="C74" s="301" t="s">
        <v>5</v>
      </c>
      <c r="D74" s="142">
        <v>0.45</v>
      </c>
      <c r="E74" s="124"/>
      <c r="F74" s="355"/>
      <c r="G74" s="130"/>
      <c r="H74" s="130"/>
      <c r="I74" s="130"/>
      <c r="J74" s="130"/>
      <c r="K74" s="130"/>
      <c r="L74" s="130"/>
      <c r="M74" s="130"/>
      <c r="N74" s="130"/>
      <c r="O74" s="130"/>
    </row>
    <row r="75" spans="1:28" ht="24" customHeight="1" x14ac:dyDescent="0.25">
      <c r="A75" s="115"/>
      <c r="B75" s="115" t="s">
        <v>117</v>
      </c>
      <c r="C75" s="116" t="s">
        <v>5</v>
      </c>
      <c r="D75" s="142">
        <v>0.05</v>
      </c>
      <c r="E75" s="124"/>
      <c r="F75" s="355"/>
      <c r="G75" s="130"/>
      <c r="H75" s="130"/>
      <c r="I75" s="130"/>
      <c r="J75" s="130"/>
      <c r="K75" s="130"/>
      <c r="L75" s="130"/>
      <c r="M75" s="130"/>
      <c r="N75" s="130"/>
      <c r="O75" s="130"/>
    </row>
    <row r="76" spans="1:28" ht="24" customHeight="1" x14ac:dyDescent="0.25">
      <c r="A76" s="115"/>
      <c r="B76" s="115" t="s">
        <v>118</v>
      </c>
      <c r="C76" s="116" t="s">
        <v>5</v>
      </c>
      <c r="D76" s="142">
        <v>0.5</v>
      </c>
      <c r="E76" s="124"/>
      <c r="F76" s="355"/>
      <c r="G76" s="130"/>
      <c r="H76" s="130"/>
      <c r="I76" s="130"/>
      <c r="J76" s="130"/>
      <c r="K76" s="130"/>
      <c r="L76" s="130"/>
      <c r="M76" s="130"/>
      <c r="N76" s="130"/>
      <c r="O76" s="130"/>
    </row>
    <row r="77" spans="1:28" ht="24" customHeight="1" x14ac:dyDescent="0.25">
      <c r="A77" s="115"/>
      <c r="B77" s="115" t="s">
        <v>105</v>
      </c>
      <c r="C77" s="116" t="s">
        <v>5</v>
      </c>
      <c r="D77" s="135">
        <f>D70+D73+D75</f>
        <v>1</v>
      </c>
      <c r="E77" s="124"/>
      <c r="F77" s="340" t="s">
        <v>219</v>
      </c>
      <c r="G77" s="130"/>
      <c r="H77" s="130"/>
      <c r="I77" s="130"/>
      <c r="J77" s="130"/>
      <c r="K77" s="130"/>
      <c r="L77" s="130"/>
      <c r="M77" s="130"/>
      <c r="N77" s="130"/>
      <c r="O77" s="130"/>
    </row>
    <row r="78" spans="1:28" ht="24" customHeight="1" x14ac:dyDescent="0.25">
      <c r="A78" s="115"/>
      <c r="B78" s="115" t="s">
        <v>106</v>
      </c>
      <c r="C78" s="116" t="s">
        <v>5</v>
      </c>
      <c r="D78" s="135">
        <f>D71+D74+D76</f>
        <v>1</v>
      </c>
      <c r="E78" s="124"/>
      <c r="F78" s="340" t="s">
        <v>219</v>
      </c>
      <c r="G78" s="130"/>
      <c r="H78" s="130"/>
      <c r="I78" s="130"/>
      <c r="J78" s="130"/>
      <c r="K78" s="130"/>
      <c r="L78" s="130"/>
      <c r="M78" s="130"/>
      <c r="N78" s="130"/>
      <c r="O78" s="130"/>
    </row>
    <row r="79" spans="1:28" ht="27" customHeight="1" x14ac:dyDescent="0.25">
      <c r="A79" s="115"/>
      <c r="B79" s="131" t="s">
        <v>278</v>
      </c>
      <c r="C79" s="114" t="s">
        <v>5</v>
      </c>
      <c r="D79" s="143">
        <v>0.3</v>
      </c>
      <c r="E79" s="124"/>
      <c r="F79" s="354" t="s">
        <v>280</v>
      </c>
      <c r="G79" s="130"/>
      <c r="H79" s="130"/>
      <c r="I79" s="130"/>
      <c r="J79" s="130"/>
      <c r="K79" s="130"/>
      <c r="L79" s="130"/>
      <c r="M79" s="130"/>
      <c r="N79" s="130"/>
      <c r="O79" s="130"/>
    </row>
    <row r="80" spans="1:28" ht="26.4" customHeight="1" x14ac:dyDescent="0.25">
      <c r="B80" s="35" t="s">
        <v>277</v>
      </c>
      <c r="C80" s="301" t="s">
        <v>8</v>
      </c>
      <c r="D80" s="133">
        <f>-SUM(Finansējums!J38:AU38)</f>
        <v>285187.96799999999</v>
      </c>
      <c r="F80" s="354"/>
    </row>
    <row r="81" spans="2:6" ht="57.65" customHeight="1" x14ac:dyDescent="0.25">
      <c r="C81" s="301"/>
      <c r="D81" s="301"/>
      <c r="F81" s="354"/>
    </row>
    <row r="82" spans="2:6" ht="18.649999999999999" customHeight="1" x14ac:dyDescent="0.25">
      <c r="B82" s="35" t="s">
        <v>227</v>
      </c>
      <c r="C82" s="301"/>
      <c r="D82" s="312">
        <v>46265</v>
      </c>
      <c r="F82" s="334" t="s">
        <v>235</v>
      </c>
    </row>
    <row r="83" spans="2:6" ht="17" customHeight="1" x14ac:dyDescent="0.25">
      <c r="B83" s="35" t="s">
        <v>226</v>
      </c>
      <c r="C83" s="301"/>
      <c r="D83" s="311">
        <v>44734</v>
      </c>
      <c r="F83" s="341" t="s">
        <v>236</v>
      </c>
    </row>
    <row r="84" spans="2:6" x14ac:dyDescent="0.25">
      <c r="D84" s="310"/>
    </row>
    <row r="85" spans="2:6" x14ac:dyDescent="0.25">
      <c r="D85" s="329">
        <f>IF($D$83&gt;$D$82,"1",0)</f>
        <v>0</v>
      </c>
    </row>
    <row r="87" spans="2:6" ht="13" x14ac:dyDescent="0.3">
      <c r="F87" s="307"/>
    </row>
  </sheetData>
  <mergeCells count="7">
    <mergeCell ref="F34:F35"/>
    <mergeCell ref="F79:F81"/>
    <mergeCell ref="F73:F76"/>
    <mergeCell ref="F45:F46"/>
    <mergeCell ref="F42:F43"/>
    <mergeCell ref="F50:F51"/>
    <mergeCell ref="F57:F66"/>
  </mergeCells>
  <conditionalFormatting sqref="D70">
    <cfRule type="cellIs" dxfId="21" priority="36" operator="lessThan">
      <formula>0.05</formula>
    </cfRule>
  </conditionalFormatting>
  <conditionalFormatting sqref="D47">
    <cfRule type="cellIs" dxfId="20" priority="35" operator="greaterThan">
      <formula>5</formula>
    </cfRule>
  </conditionalFormatting>
  <conditionalFormatting sqref="D77">
    <cfRule type="cellIs" dxfId="19" priority="33" operator="lessThan">
      <formula>1</formula>
    </cfRule>
    <cfRule type="cellIs" dxfId="18" priority="34" operator="greaterThan">
      <formula>1</formula>
    </cfRule>
  </conditionalFormatting>
  <conditionalFormatting sqref="D78">
    <cfRule type="cellIs" dxfId="17" priority="31" operator="greaterThan">
      <formula>1</formula>
    </cfRule>
    <cfRule type="cellIs" dxfId="16" priority="32" operator="lessThan">
      <formula>1</formula>
    </cfRule>
  </conditionalFormatting>
  <conditionalFormatting sqref="D57">
    <cfRule type="cellIs" dxfId="15" priority="30" operator="equal">
      <formula>0</formula>
    </cfRule>
  </conditionalFormatting>
  <conditionalFormatting sqref="D58">
    <cfRule type="cellIs" dxfId="14" priority="29" operator="equal">
      <formula>0</formula>
    </cfRule>
  </conditionalFormatting>
  <conditionalFormatting sqref="D65">
    <cfRule type="cellIs" dxfId="13" priority="28" operator="equal">
      <formula>0</formula>
    </cfRule>
  </conditionalFormatting>
  <conditionalFormatting sqref="D66">
    <cfRule type="cellIs" dxfId="12" priority="27" operator="equal">
      <formula>0</formula>
    </cfRule>
  </conditionalFormatting>
  <conditionalFormatting sqref="D80">
    <cfRule type="cellIs" dxfId="11" priority="15" operator="lessThan">
      <formula>0</formula>
    </cfRule>
  </conditionalFormatting>
  <conditionalFormatting sqref="D79">
    <cfRule type="expression" dxfId="10" priority="12">
      <formula>AND($D$83&lt;=$D$82,$D$79&gt;30%)</formula>
    </cfRule>
    <cfRule type="expression" dxfId="9" priority="13">
      <formula>AND($D$83&gt;$D$82,$D$79&gt;25%)</formula>
    </cfRule>
  </conditionalFormatting>
  <conditionalFormatting sqref="D28">
    <cfRule type="containsText" dxfId="8" priority="11" operator="containsText" text="ERROR">
      <formula>NOT(ISERROR(SEARCH("ERROR",D28)))</formula>
    </cfRule>
  </conditionalFormatting>
  <conditionalFormatting sqref="D11:D12">
    <cfRule type="cellIs" dxfId="7" priority="6" operator="lessThan">
      <formula>3</formula>
    </cfRule>
  </conditionalFormatting>
  <conditionalFormatting sqref="D18">
    <cfRule type="expression" dxfId="6" priority="4">
      <formula>$D$18*$D$14&gt;0.05*$D$28</formula>
    </cfRule>
  </conditionalFormatting>
  <conditionalFormatting sqref="D61">
    <cfRule type="cellIs" dxfId="5" priority="3" operator="equal">
      <formula>0</formula>
    </cfRule>
  </conditionalFormatting>
  <conditionalFormatting sqref="D2">
    <cfRule type="expression" dxfId="4" priority="1">
      <formula>"ERROR"</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6" id="{1724801B-0629-4887-8114-4649752679A3}">
            <xm:f>$D$80&gt;49%*SUM(Finansējums!$E$12:$E$15)</xm:f>
            <x14:dxf>
              <fill>
                <patternFill>
                  <bgColor theme="9" tint="0.59996337778862885"/>
                </patternFill>
              </fill>
            </x14:dxf>
          </x14:cfRule>
          <xm:sqref>D80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D36"/>
  <sheetViews>
    <sheetView showGridLines="0" zoomScale="90" zoomScaleNormal="90" workbookViewId="0">
      <selection activeCell="B20" sqref="B20"/>
    </sheetView>
  </sheetViews>
  <sheetFormatPr defaultColWidth="8.6640625" defaultRowHeight="12.5" x14ac:dyDescent="0.25"/>
  <cols>
    <col min="1" max="1" width="2.58203125" style="32" customWidth="1"/>
    <col min="2" max="2" width="53.4140625" style="32" customWidth="1"/>
    <col min="3" max="4" width="10.58203125" style="38" customWidth="1"/>
    <col min="5" max="5" width="10.08203125" style="38" bestFit="1" customWidth="1"/>
    <col min="6" max="9" width="9.58203125" style="38" customWidth="1"/>
    <col min="10" max="30" width="10.08203125" style="38" bestFit="1" customWidth="1"/>
    <col min="31" max="52" width="9.58203125" style="38" customWidth="1"/>
    <col min="53" max="53" width="15.4140625" style="32" customWidth="1"/>
    <col min="54" max="16384" width="8.6640625" style="32"/>
  </cols>
  <sheetData>
    <row r="1" spans="1:212" ht="20" customHeight="1" x14ac:dyDescent="0.25"/>
    <row r="2" spans="1:212" ht="28.25" customHeight="1" x14ac:dyDescent="0.25">
      <c r="B2" s="328" t="str">
        <f>Pieņēmumi!D2</f>
        <v>-</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row>
    <row r="3" spans="1:212" s="150" customFormat="1" ht="20" customHeight="1" x14ac:dyDescent="0.3">
      <c r="B3" s="121"/>
      <c r="C3" s="244">
        <v>1</v>
      </c>
      <c r="D3" s="244">
        <v>2</v>
      </c>
      <c r="E3" s="244">
        <v>3</v>
      </c>
      <c r="F3" s="244">
        <v>4</v>
      </c>
      <c r="G3" s="244">
        <v>5</v>
      </c>
      <c r="H3" s="244">
        <v>6</v>
      </c>
      <c r="I3" s="244">
        <v>7</v>
      </c>
      <c r="J3" s="244">
        <v>8</v>
      </c>
      <c r="K3" s="244">
        <v>9</v>
      </c>
      <c r="L3" s="244">
        <v>10</v>
      </c>
      <c r="M3" s="244">
        <v>11</v>
      </c>
      <c r="N3" s="244">
        <v>12</v>
      </c>
      <c r="O3" s="244">
        <v>13</v>
      </c>
      <c r="P3" s="244">
        <v>14</v>
      </c>
      <c r="Q3" s="244">
        <v>15</v>
      </c>
      <c r="R3" s="244">
        <v>16</v>
      </c>
      <c r="S3" s="244">
        <v>17</v>
      </c>
      <c r="T3" s="244">
        <v>18</v>
      </c>
      <c r="U3" s="244">
        <v>19</v>
      </c>
      <c r="V3" s="244">
        <v>20</v>
      </c>
      <c r="W3" s="244">
        <v>21</v>
      </c>
      <c r="X3" s="244">
        <v>22</v>
      </c>
      <c r="Y3" s="244">
        <v>23</v>
      </c>
      <c r="Z3" s="244">
        <v>24</v>
      </c>
      <c r="AA3" s="244">
        <v>25</v>
      </c>
      <c r="AB3" s="244">
        <v>26</v>
      </c>
      <c r="AC3" s="244">
        <v>27</v>
      </c>
      <c r="AD3" s="244">
        <v>28</v>
      </c>
      <c r="AE3" s="244">
        <v>29</v>
      </c>
      <c r="AF3" s="244">
        <v>30</v>
      </c>
      <c r="AG3" s="244">
        <v>31</v>
      </c>
      <c r="AH3" s="244">
        <v>32</v>
      </c>
      <c r="AI3" s="244">
        <v>33</v>
      </c>
      <c r="AJ3" s="244">
        <v>34</v>
      </c>
      <c r="AK3" s="244">
        <v>35</v>
      </c>
      <c r="AL3" s="244">
        <v>36</v>
      </c>
      <c r="AM3" s="244">
        <v>37</v>
      </c>
      <c r="AN3" s="244">
        <v>38</v>
      </c>
      <c r="AO3" s="244">
        <v>39</v>
      </c>
      <c r="AP3" s="244">
        <v>40</v>
      </c>
      <c r="AQ3" s="244">
        <v>41</v>
      </c>
      <c r="AR3" s="244">
        <v>42</v>
      </c>
      <c r="AS3" s="244">
        <v>43</v>
      </c>
      <c r="AT3" s="244">
        <v>44</v>
      </c>
      <c r="AU3" s="244">
        <v>45</v>
      </c>
      <c r="AV3" s="244">
        <v>46</v>
      </c>
      <c r="AW3" s="244">
        <v>47</v>
      </c>
      <c r="AX3" s="244">
        <v>48</v>
      </c>
      <c r="AY3" s="244">
        <v>49</v>
      </c>
      <c r="AZ3" s="244">
        <v>50</v>
      </c>
      <c r="BA3" s="119"/>
      <c r="BB3" s="119"/>
      <c r="BC3" s="119"/>
      <c r="BD3" s="119"/>
      <c r="BE3" s="119"/>
      <c r="BF3" s="119"/>
    </row>
    <row r="4" spans="1:212" ht="20" customHeight="1" x14ac:dyDescent="0.25">
      <c r="B4" s="122" t="s">
        <v>40</v>
      </c>
      <c r="C4" s="151">
        <f t="shared" ref="C4:AZ4" si="0">C5</f>
        <v>0</v>
      </c>
      <c r="D4" s="151">
        <f t="shared" si="0"/>
        <v>0</v>
      </c>
      <c r="E4" s="151">
        <f t="shared" si="0"/>
        <v>49509.576000000001</v>
      </c>
      <c r="F4" s="151">
        <f t="shared" si="0"/>
        <v>50499.767520000001</v>
      </c>
      <c r="G4" s="151">
        <f t="shared" si="0"/>
        <v>51509.762870399994</v>
      </c>
      <c r="H4" s="151">
        <f t="shared" si="0"/>
        <v>52539.958127807993</v>
      </c>
      <c r="I4" s="151">
        <f t="shared" si="0"/>
        <v>53590.757290364163</v>
      </c>
      <c r="J4" s="151">
        <f t="shared" si="0"/>
        <v>54662.572436171446</v>
      </c>
      <c r="K4" s="151">
        <f t="shared" si="0"/>
        <v>55755.82388489486</v>
      </c>
      <c r="L4" s="151">
        <f t="shared" si="0"/>
        <v>56870.940362592766</v>
      </c>
      <c r="M4" s="151">
        <f t="shared" si="0"/>
        <v>58008.359169844618</v>
      </c>
      <c r="N4" s="151">
        <f t="shared" si="0"/>
        <v>59168.526353241512</v>
      </c>
      <c r="O4" s="151">
        <f t="shared" si="0"/>
        <v>60351.896880306333</v>
      </c>
      <c r="P4" s="151">
        <f t="shared" si="0"/>
        <v>61558.934817912472</v>
      </c>
      <c r="Q4" s="151">
        <f t="shared" si="0"/>
        <v>62790.113514270713</v>
      </c>
      <c r="R4" s="151">
        <f t="shared" si="0"/>
        <v>64045.915784556142</v>
      </c>
      <c r="S4" s="151">
        <f t="shared" si="0"/>
        <v>65326.834100247237</v>
      </c>
      <c r="T4" s="151">
        <f t="shared" si="0"/>
        <v>66633.370782252197</v>
      </c>
      <c r="U4" s="151">
        <f t="shared" si="0"/>
        <v>67966.038197897258</v>
      </c>
      <c r="V4" s="151">
        <f t="shared" si="0"/>
        <v>69325.358961855178</v>
      </c>
      <c r="W4" s="151">
        <f t="shared" si="0"/>
        <v>70711.86614109228</v>
      </c>
      <c r="X4" s="151">
        <f t="shared" si="0"/>
        <v>72126.103463914144</v>
      </c>
      <c r="Y4" s="151">
        <f t="shared" si="0"/>
        <v>73568.625533192419</v>
      </c>
      <c r="Z4" s="151">
        <f t="shared" si="0"/>
        <v>75039.998043856278</v>
      </c>
      <c r="AA4" s="151">
        <f t="shared" si="0"/>
        <v>76540.798004733384</v>
      </c>
      <c r="AB4" s="151">
        <f t="shared" si="0"/>
        <v>78071.613964828051</v>
      </c>
      <c r="AC4" s="151">
        <f t="shared" si="0"/>
        <v>79633.04624412462</v>
      </c>
      <c r="AD4" s="151">
        <f t="shared" si="0"/>
        <v>81225.707169007117</v>
      </c>
      <c r="AE4" s="151">
        <f t="shared" si="0"/>
        <v>82850.22131238725</v>
      </c>
      <c r="AF4" s="151">
        <f t="shared" si="0"/>
        <v>84507.225738634996</v>
      </c>
      <c r="AG4" s="151">
        <f t="shared" si="0"/>
        <v>86197.370253407687</v>
      </c>
      <c r="AH4" s="151">
        <f t="shared" si="0"/>
        <v>87921.317658475848</v>
      </c>
      <c r="AI4" s="151">
        <f t="shared" si="0"/>
        <v>89679.744011645351</v>
      </c>
      <c r="AJ4" s="151">
        <f t="shared" si="0"/>
        <v>91473.338891878273</v>
      </c>
      <c r="AK4" s="151">
        <f t="shared" si="0"/>
        <v>93302.805669715846</v>
      </c>
      <c r="AL4" s="151">
        <f t="shared" si="0"/>
        <v>95168.861783110144</v>
      </c>
      <c r="AM4" s="151">
        <f t="shared" si="0"/>
        <v>97072.23901877235</v>
      </c>
      <c r="AN4" s="151">
        <f t="shared" si="0"/>
        <v>99013.683799147795</v>
      </c>
      <c r="AO4" s="151">
        <f t="shared" si="0"/>
        <v>100993.95747513077</v>
      </c>
      <c r="AP4" s="151">
        <f t="shared" si="0"/>
        <v>103013.83662463339</v>
      </c>
      <c r="AQ4" s="151">
        <f t="shared" si="0"/>
        <v>105074.11335712601</v>
      </c>
      <c r="AR4" s="151">
        <f t="shared" si="0"/>
        <v>107175.59562426858</v>
      </c>
      <c r="AS4" s="151">
        <f t="shared" si="0"/>
        <v>109319.10753675393</v>
      </c>
      <c r="AT4" s="151">
        <f t="shared" si="0"/>
        <v>111505.489687489</v>
      </c>
      <c r="AU4" s="151">
        <f t="shared" si="0"/>
        <v>113735.59948123878</v>
      </c>
      <c r="AV4" s="151">
        <f t="shared" si="0"/>
        <v>116010.31147086358</v>
      </c>
      <c r="AW4" s="151">
        <f t="shared" si="0"/>
        <v>118330.51770028083</v>
      </c>
      <c r="AX4" s="151">
        <f t="shared" si="0"/>
        <v>120697.12805428647</v>
      </c>
      <c r="AY4" s="151">
        <f t="shared" si="0"/>
        <v>123111.07061537215</v>
      </c>
      <c r="AZ4" s="151">
        <f t="shared" si="0"/>
        <v>125573.29202767962</v>
      </c>
    </row>
    <row r="5" spans="1:212" s="43" customFormat="1" ht="20" customHeight="1" x14ac:dyDescent="0.25">
      <c r="B5" s="126" t="s">
        <v>16</v>
      </c>
      <c r="C5" s="152">
        <f>IF((C3-1)&gt;Pieņēmumi!$D$53,((Pieņēmumi!$D$11*Pieņēmumi!$D$13*Pieņēmumi!$D$48)*Pieņēmumi!$D$50),IF('Naudas plūsma'!C3&gt;Pieņēmumi!$D$53,('Naudas plūsma'!C3-Pieņēmumi!$D$53)*((Pieņēmumi!$D$11*Pieņēmumi!$D$13*Pieņēmumi!$D$48)*Pieņēmumi!$D$50),0))</f>
        <v>0</v>
      </c>
      <c r="D5" s="152">
        <f>IF((D3-1)&gt;Pieņēmumi!$D$53,((Pieņēmumi!$D$11*Pieņēmumi!$D$13*Pieņēmumi!$D$48*(1+Pieņēmumi!$D$7)^('Naudas plūsma'!D3-ROUNDUP(Pieņēmumi!$D$53,0)))*Pieņēmumi!$D$50),IF('Naudas plūsma'!D3&gt;Pieņēmumi!$D$53,('Naudas plūsma'!D3-Pieņēmumi!$D$53)*((Pieņēmumi!$D$11*Pieņēmumi!$D$13*Pieņēmumi!$D$48*(1+Pieņēmumi!$D$7)^('Naudas plūsma'!D3-ROUNDUP(Pieņēmumi!$D$53,0)))*Pieņēmumi!$D$50),0))</f>
        <v>0</v>
      </c>
      <c r="E5" s="152">
        <f>IF((E3-1)&gt;Pieņēmumi!$D$53,((Pieņēmumi!$D$11*Pieņēmumi!$D$13*Pieņēmumi!$D$48*(1+Pieņēmumi!$D$7)^('Naudas plūsma'!E3-ROUNDUP(Pieņēmumi!$D$53,0)))*Pieņēmumi!$D$50),IF('Naudas plūsma'!E3&gt;Pieņēmumi!$D$53,('Naudas plūsma'!E3-Pieņēmumi!$D$53)*((Pieņēmumi!$D$11*Pieņēmumi!$D$13*Pieņēmumi!$D$48*(1+Pieņēmumi!$D$7)^('Naudas plūsma'!E3-ROUNDUP(Pieņēmumi!$D$53,0)))*Pieņēmumi!$D$50),0))</f>
        <v>49509.576000000001</v>
      </c>
      <c r="F5" s="152">
        <f>IF((F3-1)&gt;Pieņēmumi!$D$53,((Pieņēmumi!$D$11*Pieņēmumi!$D$13*Pieņēmumi!$D$48*(1+Pieņēmumi!$D$7)^('Naudas plūsma'!F3-ROUNDUP(Pieņēmumi!$D$53,0)))*Pieņēmumi!$D$50),IF('Naudas plūsma'!F3&gt;Pieņēmumi!$D$53,('Naudas plūsma'!F3-Pieņēmumi!$D$53)*((Pieņēmumi!$D$11*Pieņēmumi!$D$13*Pieņēmumi!$D$48*(1+Pieņēmumi!$D$7)^('Naudas plūsma'!F3-ROUNDUP(Pieņēmumi!$D$53,0)))*Pieņēmumi!$D$50),0))</f>
        <v>50499.767520000001</v>
      </c>
      <c r="G5" s="152">
        <f>IF((G3-1)&gt;Pieņēmumi!$D$53,((Pieņēmumi!$D$11*Pieņēmumi!$D$13*Pieņēmumi!$D$48*(1+Pieņēmumi!$D$7)^('Naudas plūsma'!G3-ROUNDUP(Pieņēmumi!$D$53,0)))*Pieņēmumi!$D$50),IF('Naudas plūsma'!G3&gt;Pieņēmumi!$D$53,('Naudas plūsma'!G3-Pieņēmumi!$D$53)*((Pieņēmumi!$D$11*Pieņēmumi!$D$13*Pieņēmumi!$D$48*(1+Pieņēmumi!$D$7)^('Naudas plūsma'!G3-ROUNDUP(Pieņēmumi!$D$53,0)))*Pieņēmumi!$D$50),0))</f>
        <v>51509.762870399994</v>
      </c>
      <c r="H5" s="152">
        <f>IF((H3-1)&gt;Pieņēmumi!$D$53,((Pieņēmumi!$D$11*Pieņēmumi!$D$13*Pieņēmumi!$D$48*(1+Pieņēmumi!$D$7)^('Naudas plūsma'!H3-ROUNDUP(Pieņēmumi!$D$53,0)))*Pieņēmumi!$D$50),IF('Naudas plūsma'!H3&gt;Pieņēmumi!$D$53,('Naudas plūsma'!H3-Pieņēmumi!$D$53)*((Pieņēmumi!$D$11*Pieņēmumi!$D$13*Pieņēmumi!$D$48*(1+Pieņēmumi!$D$7)^('Naudas plūsma'!H3-ROUNDUP(Pieņēmumi!$D$53,0)))*Pieņēmumi!$D$50),0))</f>
        <v>52539.958127807993</v>
      </c>
      <c r="I5" s="152">
        <f>IF((I3-1)&gt;Pieņēmumi!$D$53,((Pieņēmumi!$D$11*Pieņēmumi!$D$13*Pieņēmumi!$D$48*(1+Pieņēmumi!$D$7)^('Naudas plūsma'!I3-ROUNDUP(Pieņēmumi!$D$53,0)))*Pieņēmumi!$D$50),IF('Naudas plūsma'!I3&gt;Pieņēmumi!$D$53,('Naudas plūsma'!I3-Pieņēmumi!$D$53)*((Pieņēmumi!$D$11*Pieņēmumi!$D$13*Pieņēmumi!$D$48*(1+Pieņēmumi!$D$7)^('Naudas plūsma'!I3-ROUNDUP(Pieņēmumi!$D$53,0)))*Pieņēmumi!$D$50),0))</f>
        <v>53590.757290364163</v>
      </c>
      <c r="J5" s="152">
        <f>IF((J3-1)&gt;Pieņēmumi!$D$53,((Pieņēmumi!$D$11*Pieņēmumi!$D$13*Pieņēmumi!$D$48*(1+Pieņēmumi!$D$7)^('Naudas plūsma'!J3-ROUNDUP(Pieņēmumi!$D$53,0)))*Pieņēmumi!$D$50),IF('Naudas plūsma'!J3&gt;Pieņēmumi!$D$53,('Naudas plūsma'!J3-Pieņēmumi!$D$53)*((Pieņēmumi!$D$11*Pieņēmumi!$D$13*Pieņēmumi!$D$48*(1+Pieņēmumi!$D$7)^('Naudas plūsma'!J3-ROUNDUP(Pieņēmumi!$D$53,0)))*Pieņēmumi!$D$50),0))</f>
        <v>54662.572436171446</v>
      </c>
      <c r="K5" s="152">
        <f>IF((K3-1)&gt;Pieņēmumi!$D$53,((Pieņēmumi!$D$11*Pieņēmumi!$D$13*Pieņēmumi!$D$48*(1+Pieņēmumi!$D$7)^('Naudas plūsma'!K3-ROUNDUP(Pieņēmumi!$D$53,0)))*Pieņēmumi!$D$50),IF('Naudas plūsma'!K3&gt;Pieņēmumi!$D$53,('Naudas plūsma'!K3-Pieņēmumi!$D$53)*((Pieņēmumi!$D$11*Pieņēmumi!$D$13*Pieņēmumi!$D$48*(1+Pieņēmumi!$D$7)^('Naudas plūsma'!K3-ROUNDUP(Pieņēmumi!$D$53,0)))*Pieņēmumi!$D$50),0))</f>
        <v>55755.82388489486</v>
      </c>
      <c r="L5" s="152">
        <f>IF((L3-1)&gt;Pieņēmumi!$D$53,((Pieņēmumi!$D$11*Pieņēmumi!$D$13*Pieņēmumi!$D$48*(1+Pieņēmumi!$D$7)^('Naudas plūsma'!L3-ROUNDUP(Pieņēmumi!$D$53,0)))*Pieņēmumi!$D$50),IF('Naudas plūsma'!L3&gt;Pieņēmumi!$D$53,('Naudas plūsma'!L3-Pieņēmumi!$D$53)*((Pieņēmumi!$D$11*Pieņēmumi!$D$13*Pieņēmumi!$D$48*(1+Pieņēmumi!$D$7)^('Naudas plūsma'!L3-ROUNDUP(Pieņēmumi!$D$53,0)))*Pieņēmumi!$D$50),0))</f>
        <v>56870.940362592766</v>
      </c>
      <c r="M5" s="152">
        <f>IF((M3-1)&gt;Pieņēmumi!$D$53,((Pieņēmumi!$D$11*Pieņēmumi!$D$13*Pieņēmumi!$D$48*(1+Pieņēmumi!$D$7)^('Naudas plūsma'!M3-ROUNDUP(Pieņēmumi!$D$53,0)))*Pieņēmumi!$D$50),IF('Naudas plūsma'!M3&gt;Pieņēmumi!$D$53,('Naudas plūsma'!M3-Pieņēmumi!$D$53)*((Pieņēmumi!$D$11*Pieņēmumi!$D$13*Pieņēmumi!$D$48*(1+Pieņēmumi!$D$7)^('Naudas plūsma'!M3-ROUNDUP(Pieņēmumi!$D$53,0)))*Pieņēmumi!$D$50),0))</f>
        <v>58008.359169844618</v>
      </c>
      <c r="N5" s="152">
        <f>IF((N3-1)&gt;Pieņēmumi!$D$53,((Pieņēmumi!$D$11*Pieņēmumi!$D$13*Pieņēmumi!$D$48*(1+Pieņēmumi!$D$7)^('Naudas plūsma'!N3-ROUNDUP(Pieņēmumi!$D$53,0)))*Pieņēmumi!$D$50),IF('Naudas plūsma'!N3&gt;Pieņēmumi!$D$53,('Naudas plūsma'!N3-Pieņēmumi!$D$53)*((Pieņēmumi!$D$11*Pieņēmumi!$D$13*Pieņēmumi!$D$48*(1+Pieņēmumi!$D$7)^('Naudas plūsma'!N3-ROUNDUP(Pieņēmumi!$D$53,0)))*Pieņēmumi!$D$50),0))</f>
        <v>59168.526353241512</v>
      </c>
      <c r="O5" s="152">
        <f>IF((O3-1)&gt;Pieņēmumi!$D$53,((Pieņēmumi!$D$11*Pieņēmumi!$D$13*Pieņēmumi!$D$48*(1+Pieņēmumi!$D$7)^('Naudas plūsma'!O3-ROUNDUP(Pieņēmumi!$D$53,0)))*Pieņēmumi!$D$50),IF('Naudas plūsma'!O3&gt;Pieņēmumi!$D$53,('Naudas plūsma'!O3-Pieņēmumi!$D$53)*((Pieņēmumi!$D$11*Pieņēmumi!$D$13*Pieņēmumi!$D$48*(1+Pieņēmumi!$D$7)^('Naudas plūsma'!O3-ROUNDUP(Pieņēmumi!$D$53,0)))*Pieņēmumi!$D$50),0))</f>
        <v>60351.896880306333</v>
      </c>
      <c r="P5" s="152">
        <f>IF((P3-1)&gt;Pieņēmumi!$D$53,((Pieņēmumi!$D$11*Pieņēmumi!$D$13*Pieņēmumi!$D$48*(1+Pieņēmumi!$D$7)^('Naudas plūsma'!P3-ROUNDUP(Pieņēmumi!$D$53,0)))*Pieņēmumi!$D$50),IF('Naudas plūsma'!P3&gt;Pieņēmumi!$D$53,('Naudas plūsma'!P3-Pieņēmumi!$D$53)*((Pieņēmumi!$D$11*Pieņēmumi!$D$13*Pieņēmumi!$D$48*(1+Pieņēmumi!$D$7)^('Naudas plūsma'!P3-ROUNDUP(Pieņēmumi!$D$53,0)))*Pieņēmumi!$D$50),0))</f>
        <v>61558.934817912472</v>
      </c>
      <c r="Q5" s="152">
        <f>IF((Q3-1)&gt;Pieņēmumi!$D$53,((Pieņēmumi!$D$11*Pieņēmumi!$D$13*Pieņēmumi!$D$48*(1+Pieņēmumi!$D$7)^('Naudas plūsma'!Q3-ROUNDUP(Pieņēmumi!$D$53,0)))*Pieņēmumi!$D$50),IF('Naudas plūsma'!Q3&gt;Pieņēmumi!$D$53,('Naudas plūsma'!Q3-Pieņēmumi!$D$53)*((Pieņēmumi!$D$11*Pieņēmumi!$D$13*Pieņēmumi!$D$48*(1+Pieņēmumi!$D$7)^('Naudas plūsma'!Q3-ROUNDUP(Pieņēmumi!$D$53,0)))*Pieņēmumi!$D$50),0))</f>
        <v>62790.113514270713</v>
      </c>
      <c r="R5" s="152">
        <f>IF((R3-1)&gt;Pieņēmumi!$D$53,((Pieņēmumi!$D$11*Pieņēmumi!$D$13*Pieņēmumi!$D$48*(1+Pieņēmumi!$D$7)^('Naudas plūsma'!R3-ROUNDUP(Pieņēmumi!$D$53,0)))*Pieņēmumi!$D$50),IF('Naudas plūsma'!R3&gt;Pieņēmumi!$D$53,('Naudas plūsma'!R3-Pieņēmumi!$D$53)*((Pieņēmumi!$D$11*Pieņēmumi!$D$13*Pieņēmumi!$D$48*(1+Pieņēmumi!$D$7)^('Naudas plūsma'!R3-ROUNDUP(Pieņēmumi!$D$53,0)))*Pieņēmumi!$D$50),0))</f>
        <v>64045.915784556142</v>
      </c>
      <c r="S5" s="152">
        <f>IF((S3-1)&gt;Pieņēmumi!$D$53,((Pieņēmumi!$D$11*Pieņēmumi!$D$13*Pieņēmumi!$D$48*(1+Pieņēmumi!$D$7)^('Naudas plūsma'!S3-ROUNDUP(Pieņēmumi!$D$53,0)))*Pieņēmumi!$D$50),IF('Naudas plūsma'!S3&gt;Pieņēmumi!$D$53,('Naudas plūsma'!S3-Pieņēmumi!$D$53)*((Pieņēmumi!$D$11*Pieņēmumi!$D$13*Pieņēmumi!$D$48*(1+Pieņēmumi!$D$7)^('Naudas plūsma'!S3-ROUNDUP(Pieņēmumi!$D$53,0)))*Pieņēmumi!$D$50),0))</f>
        <v>65326.834100247237</v>
      </c>
      <c r="T5" s="152">
        <f>IF((T3-1)&gt;Pieņēmumi!$D$53,((Pieņēmumi!$D$11*Pieņēmumi!$D$13*Pieņēmumi!$D$48*(1+Pieņēmumi!$D$7)^('Naudas plūsma'!T3-ROUNDUP(Pieņēmumi!$D$53,0)))*Pieņēmumi!$D$50),IF('Naudas plūsma'!T3&gt;Pieņēmumi!$D$53,('Naudas plūsma'!T3-Pieņēmumi!$D$53)*((Pieņēmumi!$D$11*Pieņēmumi!$D$13*Pieņēmumi!$D$48*(1+Pieņēmumi!$D$7)^('Naudas plūsma'!T3-ROUNDUP(Pieņēmumi!$D$53,0)))*Pieņēmumi!$D$50),0))</f>
        <v>66633.370782252197</v>
      </c>
      <c r="U5" s="152">
        <f>IF((U3-1)&gt;Pieņēmumi!$D$53,((Pieņēmumi!$D$11*Pieņēmumi!$D$13*Pieņēmumi!$D$48*(1+Pieņēmumi!$D$7)^('Naudas plūsma'!U3-ROUNDUP(Pieņēmumi!$D$53,0)))*Pieņēmumi!$D$50),IF('Naudas plūsma'!U3&gt;Pieņēmumi!$D$53,('Naudas plūsma'!U3-Pieņēmumi!$D$53)*((Pieņēmumi!$D$11*Pieņēmumi!$D$13*Pieņēmumi!$D$48*(1+Pieņēmumi!$D$7)^('Naudas plūsma'!U3-ROUNDUP(Pieņēmumi!$D$53,0)))*Pieņēmumi!$D$50),0))</f>
        <v>67966.038197897258</v>
      </c>
      <c r="V5" s="152">
        <f>IF((V3-1)&gt;Pieņēmumi!$D$53,((Pieņēmumi!$D$11*Pieņēmumi!$D$13*Pieņēmumi!$D$48*(1+Pieņēmumi!$D$7)^('Naudas plūsma'!V3-ROUNDUP(Pieņēmumi!$D$53,0)))*Pieņēmumi!$D$50),IF('Naudas plūsma'!V3&gt;Pieņēmumi!$D$53,('Naudas plūsma'!V3-Pieņēmumi!$D$53)*((Pieņēmumi!$D$11*Pieņēmumi!$D$13*Pieņēmumi!$D$48*(1+Pieņēmumi!$D$7)^('Naudas plūsma'!V3-ROUNDUP(Pieņēmumi!$D$53,0)))*Pieņēmumi!$D$50),0))</f>
        <v>69325.358961855178</v>
      </c>
      <c r="W5" s="152">
        <f>IF((W3-1)&gt;Pieņēmumi!$D$53,((Pieņēmumi!$D$11*Pieņēmumi!$D$13*Pieņēmumi!$D$48*(1+Pieņēmumi!$D$7)^('Naudas plūsma'!W3-ROUNDUP(Pieņēmumi!$D$53,0)))*Pieņēmumi!$D$50),IF('Naudas plūsma'!W3&gt;Pieņēmumi!$D$53,('Naudas plūsma'!W3-Pieņēmumi!$D$53)*((Pieņēmumi!$D$11*Pieņēmumi!$D$13*Pieņēmumi!$D$48*(1+Pieņēmumi!$D$7)^('Naudas plūsma'!W3-ROUNDUP(Pieņēmumi!$D$53,0)))*Pieņēmumi!$D$50),0))</f>
        <v>70711.86614109228</v>
      </c>
      <c r="X5" s="152">
        <f>IF((X3-1)&gt;Pieņēmumi!$D$53,((Pieņēmumi!$D$11*Pieņēmumi!$D$13*Pieņēmumi!$D$48*(1+Pieņēmumi!$D$7)^('Naudas plūsma'!X3-ROUNDUP(Pieņēmumi!$D$53,0)))*Pieņēmumi!$D$50),IF('Naudas plūsma'!X3&gt;Pieņēmumi!$D$53,('Naudas plūsma'!X3-Pieņēmumi!$D$53)*((Pieņēmumi!$D$11*Pieņēmumi!$D$13*Pieņēmumi!$D$48*(1+Pieņēmumi!$D$7)^('Naudas plūsma'!X3-ROUNDUP(Pieņēmumi!$D$53,0)))*Pieņēmumi!$D$50),0))</f>
        <v>72126.103463914144</v>
      </c>
      <c r="Y5" s="152">
        <f>IF((Y3-1)&gt;Pieņēmumi!$D$53,((Pieņēmumi!$D$11*Pieņēmumi!$D$13*Pieņēmumi!$D$48*(1+Pieņēmumi!$D$7)^('Naudas plūsma'!Y3-ROUNDUP(Pieņēmumi!$D$53,0)))*Pieņēmumi!$D$50),IF('Naudas plūsma'!Y3&gt;Pieņēmumi!$D$53,('Naudas plūsma'!Y3-Pieņēmumi!$D$53)*((Pieņēmumi!$D$11*Pieņēmumi!$D$13*Pieņēmumi!$D$48*(1+Pieņēmumi!$D$7)^('Naudas plūsma'!Y3-ROUNDUP(Pieņēmumi!$D$53,0)))*Pieņēmumi!$D$50),0))</f>
        <v>73568.625533192419</v>
      </c>
      <c r="Z5" s="152">
        <f>IF((Z3-1)&gt;Pieņēmumi!$D$53,((Pieņēmumi!$D$11*Pieņēmumi!$D$13*Pieņēmumi!$D$48*(1+Pieņēmumi!$D$7)^('Naudas plūsma'!Z3-ROUNDUP(Pieņēmumi!$D$53,0)))*Pieņēmumi!$D$50),IF('Naudas plūsma'!Z3&gt;Pieņēmumi!$D$53,('Naudas plūsma'!Z3-Pieņēmumi!$D$53)*((Pieņēmumi!$D$11*Pieņēmumi!$D$13*Pieņēmumi!$D$48*(1+Pieņēmumi!$D$7)^('Naudas plūsma'!Z3-ROUNDUP(Pieņēmumi!$D$53,0)))*Pieņēmumi!$D$50),0))</f>
        <v>75039.998043856278</v>
      </c>
      <c r="AA5" s="152">
        <f>IF((AA3-1)&gt;Pieņēmumi!$D$53,((Pieņēmumi!$D$11*Pieņēmumi!$D$13*Pieņēmumi!$D$48*(1+Pieņēmumi!$D$7)^('Naudas plūsma'!AA3-ROUNDUP(Pieņēmumi!$D$53,0)))*Pieņēmumi!$D$50),IF('Naudas plūsma'!AA3&gt;Pieņēmumi!$D$53,('Naudas plūsma'!AA3-Pieņēmumi!$D$53)*((Pieņēmumi!$D$11*Pieņēmumi!$D$13*Pieņēmumi!$D$48*(1+Pieņēmumi!$D$7)^('Naudas plūsma'!AA3-ROUNDUP(Pieņēmumi!$D$53,0)))*Pieņēmumi!$D$50),0))</f>
        <v>76540.798004733384</v>
      </c>
      <c r="AB5" s="152">
        <f>IF((AB3-1)&gt;Pieņēmumi!$D$53,((Pieņēmumi!$D$11*Pieņēmumi!$D$13*Pieņēmumi!$D$48*(1+Pieņēmumi!$D$7)^('Naudas plūsma'!AB3-ROUNDUP(Pieņēmumi!$D$53,0)))*Pieņēmumi!$D$50),IF('Naudas plūsma'!AB3&gt;Pieņēmumi!$D$53,('Naudas plūsma'!AB3-Pieņēmumi!$D$53)*((Pieņēmumi!$D$11*Pieņēmumi!$D$13*Pieņēmumi!$D$48*(1+Pieņēmumi!$D$7)^('Naudas plūsma'!AB3-ROUNDUP(Pieņēmumi!$D$53,0)))*Pieņēmumi!$D$50),0))</f>
        <v>78071.613964828051</v>
      </c>
      <c r="AC5" s="152">
        <f>IF((AC3-1)&gt;Pieņēmumi!$D$53,((Pieņēmumi!$D$11*Pieņēmumi!$D$13*Pieņēmumi!$D$48*(1+Pieņēmumi!$D$7)^('Naudas plūsma'!AC3-ROUNDUP(Pieņēmumi!$D$53,0)))*Pieņēmumi!$D$50),IF('Naudas plūsma'!AC3&gt;Pieņēmumi!$D$53,('Naudas plūsma'!AC3-Pieņēmumi!$D$53)*((Pieņēmumi!$D$11*Pieņēmumi!$D$13*Pieņēmumi!$D$48*(1+Pieņēmumi!$D$7)^('Naudas plūsma'!AC3-ROUNDUP(Pieņēmumi!$D$53,0)))*Pieņēmumi!$D$50),0))</f>
        <v>79633.04624412462</v>
      </c>
      <c r="AD5" s="152">
        <f>IF((AD3-1)&gt;Pieņēmumi!$D$53,((Pieņēmumi!$D$11*Pieņēmumi!$D$13*Pieņēmumi!$D$48*(1+Pieņēmumi!$D$7)^('Naudas plūsma'!AD3-ROUNDUP(Pieņēmumi!$D$53,0)))*Pieņēmumi!$D$50),IF('Naudas plūsma'!AD3&gt;Pieņēmumi!$D$53,('Naudas plūsma'!AD3-Pieņēmumi!$D$53)*((Pieņēmumi!$D$11*Pieņēmumi!$D$13*Pieņēmumi!$D$48*(1+Pieņēmumi!$D$7)^('Naudas plūsma'!AD3-ROUNDUP(Pieņēmumi!$D$53,0)))*Pieņēmumi!$D$50),0))</f>
        <v>81225.707169007117</v>
      </c>
      <c r="AE5" s="152">
        <f>IF((AE3-1)&gt;Pieņēmumi!$D$53,((Pieņēmumi!$D$11*Pieņēmumi!$D$13*Pieņēmumi!$D$48*(1+Pieņēmumi!$D$7)^('Naudas plūsma'!AE3-ROUNDUP(Pieņēmumi!$D$53,0)))*Pieņēmumi!$D$50),IF('Naudas plūsma'!AE3&gt;Pieņēmumi!$D$53,('Naudas plūsma'!AE3-Pieņēmumi!$D$53)*((Pieņēmumi!$D$11*Pieņēmumi!$D$13*Pieņēmumi!$D$48*(1+Pieņēmumi!$D$7)^('Naudas plūsma'!AE3-ROUNDUP(Pieņēmumi!$D$53,0)))*Pieņēmumi!$D$50),0))</f>
        <v>82850.22131238725</v>
      </c>
      <c r="AF5" s="152">
        <f>IF((AF3-1)&gt;Pieņēmumi!$D$53,((Pieņēmumi!$D$11*Pieņēmumi!$D$13*Pieņēmumi!$D$48*(1+Pieņēmumi!$D$7)^('Naudas plūsma'!AF3-ROUNDUP(Pieņēmumi!$D$53,0)))*Pieņēmumi!$D$50),IF('Naudas plūsma'!AF3&gt;Pieņēmumi!$D$53,('Naudas plūsma'!AF3-Pieņēmumi!$D$53)*((Pieņēmumi!$D$11*Pieņēmumi!$D$13*Pieņēmumi!$D$48*(1+Pieņēmumi!$D$7)^('Naudas plūsma'!AF3-ROUNDUP(Pieņēmumi!$D$53,0)))*Pieņēmumi!$D$50),0))</f>
        <v>84507.225738634996</v>
      </c>
      <c r="AG5" s="152">
        <f>IF((AG3-1)&gt;Pieņēmumi!$D$53,((Pieņēmumi!$D$11*Pieņēmumi!$D$13*Pieņēmumi!$D$48*(1+Pieņēmumi!$D$7)^('Naudas plūsma'!AG3-ROUNDUP(Pieņēmumi!$D$53,0)))*Pieņēmumi!$D$50),IF('Naudas plūsma'!AG3&gt;Pieņēmumi!$D$53,('Naudas plūsma'!AG3-Pieņēmumi!$D$53)*((Pieņēmumi!$D$11*Pieņēmumi!$D$13*Pieņēmumi!$D$48*(1+Pieņēmumi!$D$7)^('Naudas plūsma'!AG3-ROUNDUP(Pieņēmumi!$D$53,0)))*Pieņēmumi!$D$50),0))</f>
        <v>86197.370253407687</v>
      </c>
      <c r="AH5" s="152">
        <f>IF((AH3-1)&gt;Pieņēmumi!$D$53,((Pieņēmumi!$D$11*Pieņēmumi!$D$13*Pieņēmumi!$D$48*(1+Pieņēmumi!$D$7)^('Naudas plūsma'!AH3-ROUNDUP(Pieņēmumi!$D$53,0)))*Pieņēmumi!$D$50),IF('Naudas plūsma'!AH3&gt;Pieņēmumi!$D$53,('Naudas plūsma'!AH3-Pieņēmumi!$D$53)*((Pieņēmumi!$D$11*Pieņēmumi!$D$13*Pieņēmumi!$D$48*(1+Pieņēmumi!$D$7)^('Naudas plūsma'!AH3-ROUNDUP(Pieņēmumi!$D$53,0)))*Pieņēmumi!$D$50),0))</f>
        <v>87921.317658475848</v>
      </c>
      <c r="AI5" s="152">
        <f>IF((AI3-1)&gt;Pieņēmumi!$D$53,((Pieņēmumi!$D$11*Pieņēmumi!$D$13*Pieņēmumi!$D$48*(1+Pieņēmumi!$D$7)^('Naudas plūsma'!AI3-ROUNDUP(Pieņēmumi!$D$53,0)))*Pieņēmumi!$D$50),IF('Naudas plūsma'!AI3&gt;Pieņēmumi!$D$53,('Naudas plūsma'!AI3-Pieņēmumi!$D$53)*((Pieņēmumi!$D$11*Pieņēmumi!$D$13*Pieņēmumi!$D$48*(1+Pieņēmumi!$D$7)^('Naudas plūsma'!AI3-ROUNDUP(Pieņēmumi!$D$53,0)))*Pieņēmumi!$D$50),0))</f>
        <v>89679.744011645351</v>
      </c>
      <c r="AJ5" s="152">
        <f>IF((AJ3-1)&gt;Pieņēmumi!$D$53,((Pieņēmumi!$D$11*Pieņēmumi!$D$13*Pieņēmumi!$D$48*(1+Pieņēmumi!$D$7)^('Naudas plūsma'!AJ3-ROUNDUP(Pieņēmumi!$D$53,0)))*Pieņēmumi!$D$50),IF('Naudas plūsma'!AJ3&gt;Pieņēmumi!$D$53,('Naudas plūsma'!AJ3-Pieņēmumi!$D$53)*((Pieņēmumi!$D$11*Pieņēmumi!$D$13*Pieņēmumi!$D$48*(1+Pieņēmumi!$D$7)^('Naudas plūsma'!AJ3-ROUNDUP(Pieņēmumi!$D$53,0)))*Pieņēmumi!$D$50),0))</f>
        <v>91473.338891878273</v>
      </c>
      <c r="AK5" s="152">
        <f>IF((AK3-1)&gt;Pieņēmumi!$D$53,((Pieņēmumi!$D$11*Pieņēmumi!$D$13*Pieņēmumi!$D$48*(1+Pieņēmumi!$D$7)^('Naudas plūsma'!AK3-ROUNDUP(Pieņēmumi!$D$53,0)))*Pieņēmumi!$D$50),IF('Naudas plūsma'!AK3&gt;Pieņēmumi!$D$53,('Naudas plūsma'!AK3-Pieņēmumi!$D$53)*((Pieņēmumi!$D$11*Pieņēmumi!$D$13*Pieņēmumi!$D$48*(1+Pieņēmumi!$D$7)^('Naudas plūsma'!AK3-ROUNDUP(Pieņēmumi!$D$53,0)))*Pieņēmumi!$D$50),0))</f>
        <v>93302.805669715846</v>
      </c>
      <c r="AL5" s="152">
        <f>IF((AL3-1)&gt;Pieņēmumi!$D$53,((Pieņēmumi!$D$11*Pieņēmumi!$D$13*Pieņēmumi!$D$48*(1+Pieņēmumi!$D$7)^('Naudas plūsma'!AL3-ROUNDUP(Pieņēmumi!$D$53,0)))*Pieņēmumi!$D$50),IF('Naudas plūsma'!AL3&gt;Pieņēmumi!$D$53,('Naudas plūsma'!AL3-Pieņēmumi!$D$53)*((Pieņēmumi!$D$11*Pieņēmumi!$D$13*Pieņēmumi!$D$48*(1+Pieņēmumi!$D$7)^('Naudas plūsma'!AL3-ROUNDUP(Pieņēmumi!$D$53,0)))*Pieņēmumi!$D$50),0))</f>
        <v>95168.861783110144</v>
      </c>
      <c r="AM5" s="152">
        <f>IF((AM3-1)&gt;Pieņēmumi!$D$53,((Pieņēmumi!$D$11*Pieņēmumi!$D$13*Pieņēmumi!$D$48*(1+Pieņēmumi!$D$7)^('Naudas plūsma'!AM3-ROUNDUP(Pieņēmumi!$D$53,0)))*Pieņēmumi!$D$50),IF('Naudas plūsma'!AM3&gt;Pieņēmumi!$D$53,('Naudas plūsma'!AM3-Pieņēmumi!$D$53)*((Pieņēmumi!$D$11*Pieņēmumi!$D$13*Pieņēmumi!$D$48*(1+Pieņēmumi!$D$7)^('Naudas plūsma'!AM3-ROUNDUP(Pieņēmumi!$D$53,0)))*Pieņēmumi!$D$50),0))</f>
        <v>97072.23901877235</v>
      </c>
      <c r="AN5" s="152">
        <f>IF((AN3-1)&gt;Pieņēmumi!$D$53,((Pieņēmumi!$D$11*Pieņēmumi!$D$13*Pieņēmumi!$D$48*(1+Pieņēmumi!$D$7)^('Naudas plūsma'!AN3-ROUNDUP(Pieņēmumi!$D$53,0)))*Pieņēmumi!$D$50),IF('Naudas plūsma'!AN3&gt;Pieņēmumi!$D$53,('Naudas plūsma'!AN3-Pieņēmumi!$D$53)*((Pieņēmumi!$D$11*Pieņēmumi!$D$13*Pieņēmumi!$D$48*(1+Pieņēmumi!$D$7)^('Naudas plūsma'!AN3-ROUNDUP(Pieņēmumi!$D$53,0)))*Pieņēmumi!$D$50),0))</f>
        <v>99013.683799147795</v>
      </c>
      <c r="AO5" s="152">
        <f>IF((AO3-1)&gt;Pieņēmumi!$D$53,((Pieņēmumi!$D$11*Pieņēmumi!$D$13*Pieņēmumi!$D$48*(1+Pieņēmumi!$D$7)^('Naudas plūsma'!AO3-ROUNDUP(Pieņēmumi!$D$53,0)))*Pieņēmumi!$D$50),IF('Naudas plūsma'!AO3&gt;Pieņēmumi!$D$53,('Naudas plūsma'!AO3-Pieņēmumi!$D$53)*((Pieņēmumi!$D$11*Pieņēmumi!$D$13*Pieņēmumi!$D$48*(1+Pieņēmumi!$D$7)^('Naudas plūsma'!AO3-ROUNDUP(Pieņēmumi!$D$53,0)))*Pieņēmumi!$D$50),0))</f>
        <v>100993.95747513077</v>
      </c>
      <c r="AP5" s="152">
        <f>IF((AP3-1)&gt;Pieņēmumi!$D$53,((Pieņēmumi!$D$11*Pieņēmumi!$D$13*Pieņēmumi!$D$48*(1+Pieņēmumi!$D$7)^('Naudas plūsma'!AP3-ROUNDUP(Pieņēmumi!$D$53,0)))*Pieņēmumi!$D$50),IF('Naudas plūsma'!AP3&gt;Pieņēmumi!$D$53,('Naudas plūsma'!AP3-Pieņēmumi!$D$53)*((Pieņēmumi!$D$11*Pieņēmumi!$D$13*Pieņēmumi!$D$48*(1+Pieņēmumi!$D$7)^('Naudas plūsma'!AP3-ROUNDUP(Pieņēmumi!$D$53,0)))*Pieņēmumi!$D$50),0))</f>
        <v>103013.83662463339</v>
      </c>
      <c r="AQ5" s="152">
        <f>IF((AQ3-1)&gt;Pieņēmumi!$D$53,((Pieņēmumi!$D$11*Pieņēmumi!$D$13*Pieņēmumi!$D$48*(1+Pieņēmumi!$D$7)^('Naudas plūsma'!AQ3-ROUNDUP(Pieņēmumi!$D$53,0)))*Pieņēmumi!$D$50),IF('Naudas plūsma'!AQ3&gt;Pieņēmumi!$D$53,('Naudas plūsma'!AQ3-Pieņēmumi!$D$53)*((Pieņēmumi!$D$11*Pieņēmumi!$D$13*Pieņēmumi!$D$48*(1+Pieņēmumi!$D$7)^('Naudas plūsma'!AQ3-ROUNDUP(Pieņēmumi!$D$53,0)))*Pieņēmumi!$D$50),0))</f>
        <v>105074.11335712601</v>
      </c>
      <c r="AR5" s="152">
        <f>IF((AR3-1)&gt;Pieņēmumi!$D$53,((Pieņēmumi!$D$11*Pieņēmumi!$D$13*Pieņēmumi!$D$48*(1+Pieņēmumi!$D$7)^('Naudas plūsma'!AR3-ROUNDUP(Pieņēmumi!$D$53,0)))*Pieņēmumi!$D$50),IF('Naudas plūsma'!AR3&gt;Pieņēmumi!$D$53,('Naudas plūsma'!AR3-Pieņēmumi!$D$53)*((Pieņēmumi!$D$11*Pieņēmumi!$D$13*Pieņēmumi!$D$48*(1+Pieņēmumi!$D$7)^('Naudas plūsma'!AR3-ROUNDUP(Pieņēmumi!$D$53,0)))*Pieņēmumi!$D$50),0))</f>
        <v>107175.59562426858</v>
      </c>
      <c r="AS5" s="152">
        <f>IF((AS3-1)&gt;Pieņēmumi!$D$53,((Pieņēmumi!$D$11*Pieņēmumi!$D$13*Pieņēmumi!$D$48*(1+Pieņēmumi!$D$7)^('Naudas plūsma'!AS3-ROUNDUP(Pieņēmumi!$D$53,0)))*Pieņēmumi!$D$50),IF('Naudas plūsma'!AS3&gt;Pieņēmumi!$D$53,('Naudas plūsma'!AS3-Pieņēmumi!$D$53)*((Pieņēmumi!$D$11*Pieņēmumi!$D$13*Pieņēmumi!$D$48*(1+Pieņēmumi!$D$7)^('Naudas plūsma'!AS3-ROUNDUP(Pieņēmumi!$D$53,0)))*Pieņēmumi!$D$50),0))</f>
        <v>109319.10753675393</v>
      </c>
      <c r="AT5" s="152">
        <f>IF((AT3-1)&gt;Pieņēmumi!$D$53,((Pieņēmumi!$D$11*Pieņēmumi!$D$13*Pieņēmumi!$D$48*(1+Pieņēmumi!$D$7)^('Naudas plūsma'!AT3-ROUNDUP(Pieņēmumi!$D$53,0)))*Pieņēmumi!$D$50),IF('Naudas plūsma'!AT3&gt;Pieņēmumi!$D$53,('Naudas plūsma'!AT3-Pieņēmumi!$D$53)*((Pieņēmumi!$D$11*Pieņēmumi!$D$13*Pieņēmumi!$D$48*(1+Pieņēmumi!$D$7)^('Naudas plūsma'!AT3-ROUNDUP(Pieņēmumi!$D$53,0)))*Pieņēmumi!$D$50),0))</f>
        <v>111505.489687489</v>
      </c>
      <c r="AU5" s="152">
        <f>IF((AU3-1)&gt;Pieņēmumi!$D$53,((Pieņēmumi!$D$11*Pieņēmumi!$D$13*Pieņēmumi!$D$48*(1+Pieņēmumi!$D$7)^('Naudas plūsma'!AU3-ROUNDUP(Pieņēmumi!$D$53,0)))*Pieņēmumi!$D$50),IF('Naudas plūsma'!AU3&gt;Pieņēmumi!$D$53,('Naudas plūsma'!AU3-Pieņēmumi!$D$53)*((Pieņēmumi!$D$11*Pieņēmumi!$D$13*Pieņēmumi!$D$48*(1+Pieņēmumi!$D$7)^('Naudas plūsma'!AU3-ROUNDUP(Pieņēmumi!$D$53,0)))*Pieņēmumi!$D$50),0))</f>
        <v>113735.59948123878</v>
      </c>
      <c r="AV5" s="152">
        <f>IF((AV3-1)&gt;Pieņēmumi!$D$53,((Pieņēmumi!$D$11*Pieņēmumi!$D$13*Pieņēmumi!$D$48*(1+Pieņēmumi!$D$7)^('Naudas plūsma'!AV3-ROUNDUP(Pieņēmumi!$D$53,0)))*Pieņēmumi!$D$50),IF('Naudas plūsma'!AV3&gt;Pieņēmumi!$D$53,('Naudas plūsma'!AV3-Pieņēmumi!$D$53)*((Pieņēmumi!$D$11*Pieņēmumi!$D$13*Pieņēmumi!$D$48*(1+Pieņēmumi!$D$7)^('Naudas plūsma'!AV3-ROUNDUP(Pieņēmumi!$D$53,0)))*Pieņēmumi!$D$50),0))</f>
        <v>116010.31147086358</v>
      </c>
      <c r="AW5" s="152">
        <f>IF((AW3-1)&gt;Pieņēmumi!$D$53,((Pieņēmumi!$D$11*Pieņēmumi!$D$13*Pieņēmumi!$D$48*(1+Pieņēmumi!$D$7)^('Naudas plūsma'!AW3-ROUNDUP(Pieņēmumi!$D$53,0)))*Pieņēmumi!$D$50),IF('Naudas plūsma'!AW3&gt;Pieņēmumi!$D$53,('Naudas plūsma'!AW3-Pieņēmumi!$D$53)*((Pieņēmumi!$D$11*Pieņēmumi!$D$13*Pieņēmumi!$D$48*(1+Pieņēmumi!$D$7)^('Naudas plūsma'!AW3-ROUNDUP(Pieņēmumi!$D$53,0)))*Pieņēmumi!$D$50),0))</f>
        <v>118330.51770028083</v>
      </c>
      <c r="AX5" s="152">
        <f>IF((AX3-1)&gt;Pieņēmumi!$D$53,((Pieņēmumi!$D$11*Pieņēmumi!$D$13*Pieņēmumi!$D$48*(1+Pieņēmumi!$D$7)^('Naudas plūsma'!AX3-ROUNDUP(Pieņēmumi!$D$53,0)))*Pieņēmumi!$D$50),IF('Naudas plūsma'!AX3&gt;Pieņēmumi!$D$53,('Naudas plūsma'!AX3-Pieņēmumi!$D$53)*((Pieņēmumi!$D$11*Pieņēmumi!$D$13*Pieņēmumi!$D$48*(1+Pieņēmumi!$D$7)^('Naudas plūsma'!AX3-ROUNDUP(Pieņēmumi!$D$53,0)))*Pieņēmumi!$D$50),0))</f>
        <v>120697.12805428647</v>
      </c>
      <c r="AY5" s="152">
        <f>IF((AY3-1)&gt;Pieņēmumi!$D$53,((Pieņēmumi!$D$11*Pieņēmumi!$D$13*Pieņēmumi!$D$48*(1+Pieņēmumi!$D$7)^('Naudas plūsma'!AY3-ROUNDUP(Pieņēmumi!$D$53,0)))*Pieņēmumi!$D$50),IF('Naudas plūsma'!AY3&gt;Pieņēmumi!$D$53,('Naudas plūsma'!AY3-Pieņēmumi!$D$53)*((Pieņēmumi!$D$11*Pieņēmumi!$D$13*Pieņēmumi!$D$48*(1+Pieņēmumi!$D$7)^('Naudas plūsma'!AY3-ROUNDUP(Pieņēmumi!$D$53,0)))*Pieņēmumi!$D$50),0))</f>
        <v>123111.07061537215</v>
      </c>
      <c r="AZ5" s="152">
        <f>IF((AZ3-1)&gt;Pieņēmumi!$D$53,((Pieņēmumi!$D$11*Pieņēmumi!$D$13*Pieņēmumi!$D$48*(1+Pieņēmumi!$D$7)^('Naudas plūsma'!AZ3-ROUNDUP(Pieņēmumi!$D$53,0)))*Pieņēmumi!$D$50),IF('Naudas plūsma'!AZ3&gt;Pieņēmumi!$D$53,('Naudas plūsma'!AZ3-Pieņēmumi!$D$53)*((Pieņēmumi!$D$11*Pieņēmumi!$D$13*Pieņēmumi!$D$48*(1+Pieņēmumi!$D$7)^('Naudas plūsma'!AZ3-ROUNDUP(Pieņēmumi!$D$53,0)))*Pieņēmumi!$D$50),0))</f>
        <v>125573.29202767962</v>
      </c>
      <c r="BA5" s="286"/>
    </row>
    <row r="6" spans="1:212" s="43" customFormat="1" ht="20" customHeight="1" x14ac:dyDescent="0.25">
      <c r="B6" s="153" t="s">
        <v>41</v>
      </c>
      <c r="C6" s="151"/>
      <c r="D6" s="151"/>
      <c r="E6" s="151">
        <f t="shared" ref="E6:AZ6" si="1">SUM(E7:E9)</f>
        <v>-3713.2181999999998</v>
      </c>
      <c r="F6" s="151">
        <f t="shared" si="1"/>
        <v>-3787.4825639999999</v>
      </c>
      <c r="G6" s="151">
        <f t="shared" si="1"/>
        <v>-3863.2322152799998</v>
      </c>
      <c r="H6" s="151">
        <f t="shared" si="1"/>
        <v>-3940.4968595855994</v>
      </c>
      <c r="I6" s="151">
        <f t="shared" si="1"/>
        <v>-4019.3067967773122</v>
      </c>
      <c r="J6" s="151">
        <f t="shared" si="1"/>
        <v>-4099.6929327128582</v>
      </c>
      <c r="K6" s="151">
        <f t="shared" si="1"/>
        <v>-4181.686791367114</v>
      </c>
      <c r="L6" s="151">
        <f t="shared" si="1"/>
        <v>-4265.3205271944571</v>
      </c>
      <c r="M6" s="151">
        <f t="shared" si="1"/>
        <v>-4350.626937738346</v>
      </c>
      <c r="N6" s="151">
        <f t="shared" si="1"/>
        <v>-4437.6394764931129</v>
      </c>
      <c r="O6" s="151">
        <f t="shared" si="1"/>
        <v>-4526.3922660229746</v>
      </c>
      <c r="P6" s="151">
        <f t="shared" si="1"/>
        <v>-4616.9201113434356</v>
      </c>
      <c r="Q6" s="151">
        <f t="shared" si="1"/>
        <v>-4709.258513570303</v>
      </c>
      <c r="R6" s="151">
        <f t="shared" si="1"/>
        <v>-4803.4436838417105</v>
      </c>
      <c r="S6" s="151">
        <f t="shared" si="1"/>
        <v>-4899.512557518543</v>
      </c>
      <c r="T6" s="151">
        <f t="shared" si="1"/>
        <v>-4997.5028086689144</v>
      </c>
      <c r="U6" s="151">
        <f t="shared" si="1"/>
        <v>-5097.4528648422938</v>
      </c>
      <c r="V6" s="151">
        <f t="shared" si="1"/>
        <v>-5199.4019221391382</v>
      </c>
      <c r="W6" s="151">
        <f t="shared" si="1"/>
        <v>-5303.3899605819206</v>
      </c>
      <c r="X6" s="151">
        <f t="shared" si="1"/>
        <v>-5409.4577597935604</v>
      </c>
      <c r="Y6" s="151">
        <f t="shared" si="1"/>
        <v>-5517.646914989431</v>
      </c>
      <c r="Z6" s="151">
        <f t="shared" si="1"/>
        <v>-5627.9998532892205</v>
      </c>
      <c r="AA6" s="151">
        <f t="shared" si="1"/>
        <v>-5740.5598503550036</v>
      </c>
      <c r="AB6" s="151">
        <f t="shared" si="1"/>
        <v>-5855.3710473621031</v>
      </c>
      <c r="AC6" s="151">
        <f t="shared" si="1"/>
        <v>-5972.4784683093458</v>
      </c>
      <c r="AD6" s="151">
        <f t="shared" si="1"/>
        <v>-6091.9280376755332</v>
      </c>
      <c r="AE6" s="151">
        <f t="shared" si="1"/>
        <v>-6213.7665984290434</v>
      </c>
      <c r="AF6" s="151">
        <f t="shared" si="1"/>
        <v>-6338.041930397625</v>
      </c>
      <c r="AG6" s="151">
        <f t="shared" si="1"/>
        <v>-6464.8027690055769</v>
      </c>
      <c r="AH6" s="151">
        <f t="shared" si="1"/>
        <v>-6594.0988243856882</v>
      </c>
      <c r="AI6" s="151">
        <f t="shared" si="1"/>
        <v>-51565.852806696079</v>
      </c>
      <c r="AJ6" s="151">
        <f t="shared" si="1"/>
        <v>-52597.169862830007</v>
      </c>
      <c r="AK6" s="151">
        <f t="shared" si="1"/>
        <v>-53649.113260086611</v>
      </c>
      <c r="AL6" s="151">
        <f t="shared" si="1"/>
        <v>-54722.095525288329</v>
      </c>
      <c r="AM6" s="151">
        <f t="shared" si="1"/>
        <v>-55816.537435794104</v>
      </c>
      <c r="AN6" s="151">
        <f t="shared" si="1"/>
        <v>-56932.868184509978</v>
      </c>
      <c r="AO6" s="151">
        <f t="shared" si="1"/>
        <v>-58071.525548200188</v>
      </c>
      <c r="AP6" s="151">
        <f t="shared" si="1"/>
        <v>-59232.9560591642</v>
      </c>
      <c r="AQ6" s="151">
        <f t="shared" si="1"/>
        <v>-60417.615180347457</v>
      </c>
      <c r="AR6" s="151">
        <f t="shared" si="1"/>
        <v>-61625.967483954431</v>
      </c>
      <c r="AS6" s="151">
        <f t="shared" si="1"/>
        <v>-62858.486833633506</v>
      </c>
      <c r="AT6" s="151">
        <f t="shared" si="1"/>
        <v>-64115.656570306171</v>
      </c>
      <c r="AU6" s="151">
        <f t="shared" si="1"/>
        <v>-65397.969701712296</v>
      </c>
      <c r="AV6" s="151">
        <f t="shared" si="1"/>
        <v>-66705.929095746556</v>
      </c>
      <c r="AW6" s="151">
        <f t="shared" si="1"/>
        <v>-68040.047677661481</v>
      </c>
      <c r="AX6" s="151">
        <f t="shared" si="1"/>
        <v>-69400.848631214714</v>
      </c>
      <c r="AY6" s="151">
        <f t="shared" si="1"/>
        <v>-70788.865603838989</v>
      </c>
      <c r="AZ6" s="151">
        <f t="shared" si="1"/>
        <v>-72204.642915915785</v>
      </c>
    </row>
    <row r="7" spans="1:212" s="43" customFormat="1" ht="20" customHeight="1" x14ac:dyDescent="0.25">
      <c r="B7" s="126" t="s">
        <v>36</v>
      </c>
      <c r="C7" s="152"/>
      <c r="D7" s="152"/>
      <c r="E7" s="152">
        <f>-(Pieņēmumi!$D$42*'Naudas plūsma'!E4)</f>
        <v>-2227.9309199999998</v>
      </c>
      <c r="F7" s="152">
        <f>-(Pieņēmumi!$D$42*'Naudas plūsma'!F4)</f>
        <v>-2272.4895384000001</v>
      </c>
      <c r="G7" s="152">
        <f>-(Pieņēmumi!$D$42*'Naudas plūsma'!G4)</f>
        <v>-2317.9393291679999</v>
      </c>
      <c r="H7" s="152">
        <f>-(Pieņēmumi!$D$42*'Naudas plūsma'!H4)</f>
        <v>-2364.2981157513595</v>
      </c>
      <c r="I7" s="152">
        <f>-(Pieņēmumi!$D$42*'Naudas plūsma'!I4)</f>
        <v>-2411.5840780663871</v>
      </c>
      <c r="J7" s="152">
        <f>-(Pieņēmumi!$D$42*'Naudas plūsma'!J4)</f>
        <v>-2459.8157596277151</v>
      </c>
      <c r="K7" s="152">
        <f>-(Pieņēmumi!$D$42*'Naudas plūsma'!K4)</f>
        <v>-2509.0120748202685</v>
      </c>
      <c r="L7" s="152">
        <f>-(Pieņēmumi!$D$42*'Naudas plūsma'!L4)</f>
        <v>-2559.1923163166744</v>
      </c>
      <c r="M7" s="152">
        <f>-(Pieņēmumi!$D$42*'Naudas plūsma'!M4)</f>
        <v>-2610.3761626430078</v>
      </c>
      <c r="N7" s="152">
        <f>-(Pieņēmumi!$D$42*'Naudas plūsma'!N4)</f>
        <v>-2662.5836858958678</v>
      </c>
      <c r="O7" s="152">
        <f>-(Pieņēmumi!$D$42*'Naudas plūsma'!O4)</f>
        <v>-2715.8353596137849</v>
      </c>
      <c r="P7" s="152">
        <f>-(Pieņēmumi!$D$42*'Naudas plūsma'!P4)</f>
        <v>-2770.1520668060612</v>
      </c>
      <c r="Q7" s="152">
        <f>-(Pieņēmumi!$D$42*'Naudas plūsma'!Q4)</f>
        <v>-2825.5551081421818</v>
      </c>
      <c r="R7" s="152">
        <f>-(Pieņēmumi!$D$42*'Naudas plūsma'!R4)</f>
        <v>-2882.0662103050263</v>
      </c>
      <c r="S7" s="152">
        <f>-(Pieņēmumi!$D$42*'Naudas plūsma'!S4)</f>
        <v>-2939.7075345111257</v>
      </c>
      <c r="T7" s="152">
        <f>-(Pieņēmumi!$D$42*'Naudas plūsma'!T4)</f>
        <v>-2998.5016852013487</v>
      </c>
      <c r="U7" s="152">
        <f>-(Pieņēmumi!$D$42*'Naudas plūsma'!U4)</f>
        <v>-3058.4717189053763</v>
      </c>
      <c r="V7" s="152">
        <f>-(Pieņēmumi!$D$42*'Naudas plūsma'!V4)</f>
        <v>-3119.6411532834827</v>
      </c>
      <c r="W7" s="152">
        <f>-(Pieņēmumi!$D$42*'Naudas plūsma'!W4)</f>
        <v>-3182.0339763491525</v>
      </c>
      <c r="X7" s="152">
        <f>-(Pieņēmumi!$D$42*'Naudas plūsma'!X4)</f>
        <v>-3245.6746558761365</v>
      </c>
      <c r="Y7" s="152">
        <f>-(Pieņēmumi!$D$42*'Naudas plūsma'!Y4)</f>
        <v>-3310.5881489936587</v>
      </c>
      <c r="Z7" s="152">
        <f>-(Pieņēmumi!$D$42*'Naudas plūsma'!Z4)</f>
        <v>-3376.7999119735323</v>
      </c>
      <c r="AA7" s="152">
        <f>-(Pieņēmumi!$D$42*'Naudas plūsma'!AA4)</f>
        <v>-3444.3359102130021</v>
      </c>
      <c r="AB7" s="152">
        <f>-(Pieņēmumi!$D$42*'Naudas plūsma'!AB4)</f>
        <v>-3513.2226284172621</v>
      </c>
      <c r="AC7" s="152">
        <f>-(Pieņēmumi!$D$42*'Naudas plūsma'!AC4)</f>
        <v>-3583.4870809856079</v>
      </c>
      <c r="AD7" s="152">
        <f>-(Pieņēmumi!$D$42*'Naudas plūsma'!AD4)</f>
        <v>-3655.15682260532</v>
      </c>
      <c r="AE7" s="152">
        <f>-(Pieņēmumi!$D$42*'Naudas plūsma'!AE4)</f>
        <v>-3728.2599590574259</v>
      </c>
      <c r="AF7" s="152">
        <f>-(Pieņēmumi!$D$42*'Naudas plūsma'!AF4)</f>
        <v>-3802.8251582385747</v>
      </c>
      <c r="AG7" s="152">
        <f>-(Pieņēmumi!$D$42*'Naudas plūsma'!AG4)</f>
        <v>-3878.8816614033458</v>
      </c>
      <c r="AH7" s="152">
        <f>-(Pieņēmumi!$D$42*'Naudas plūsma'!AH4)</f>
        <v>-3956.4592946314128</v>
      </c>
      <c r="AI7" s="152">
        <f>-(Pieņēmumi!$D$42*'Naudas plūsma'!AI4)</f>
        <v>-4035.5884805240407</v>
      </c>
      <c r="AJ7" s="152">
        <f>-(Pieņēmumi!$D$42*'Naudas plūsma'!AJ4)</f>
        <v>-4116.3002501345218</v>
      </c>
      <c r="AK7" s="152">
        <f>-(Pieņēmumi!$D$42*'Naudas plūsma'!AK4)</f>
        <v>-4198.6262551372129</v>
      </c>
      <c r="AL7" s="152">
        <f>-(Pieņēmumi!$D$42*'Naudas plūsma'!AL4)</f>
        <v>-4282.5987802399559</v>
      </c>
      <c r="AM7" s="152">
        <f>-(Pieņēmumi!$D$42*'Naudas plūsma'!AM4)</f>
        <v>-4368.250755844756</v>
      </c>
      <c r="AN7" s="152">
        <f>-(Pieņēmumi!$D$42*'Naudas plūsma'!AN4)</f>
        <v>-4455.6157709616509</v>
      </c>
      <c r="AO7" s="152">
        <f>-(Pieņēmumi!$D$42*'Naudas plūsma'!AO4)</f>
        <v>-4544.7280863808846</v>
      </c>
      <c r="AP7" s="152">
        <f>-(Pieņēmumi!$D$42*'Naudas plūsma'!AP4)</f>
        <v>-4635.6226481085023</v>
      </c>
      <c r="AQ7" s="152">
        <f>-(Pieņēmumi!$D$42*'Naudas plūsma'!AQ4)</f>
        <v>-4728.3351010706701</v>
      </c>
      <c r="AR7" s="152">
        <f>-(Pieņēmumi!$D$42*'Naudas plūsma'!AR4)</f>
        <v>-4822.9018030920861</v>
      </c>
      <c r="AS7" s="152">
        <f>-(Pieņēmumi!$D$42*'Naudas plūsma'!AS4)</f>
        <v>-4919.3598391539263</v>
      </c>
      <c r="AT7" s="152">
        <f>-(Pieņēmumi!$D$42*'Naudas plūsma'!AT4)</f>
        <v>-5017.7470359370045</v>
      </c>
      <c r="AU7" s="152">
        <f>-(Pieņēmumi!$D$42*'Naudas plūsma'!AU4)</f>
        <v>-5118.1019766557447</v>
      </c>
      <c r="AV7" s="152">
        <f>-(Pieņēmumi!$D$42*'Naudas plūsma'!AV4)</f>
        <v>-5220.464016188861</v>
      </c>
      <c r="AW7" s="152">
        <f>-(Pieņēmumi!$D$42*'Naudas plūsma'!AW4)</f>
        <v>-5324.8732965126374</v>
      </c>
      <c r="AX7" s="152">
        <f>-(Pieņēmumi!$D$42*'Naudas plūsma'!AX4)</f>
        <v>-5431.3707624428907</v>
      </c>
      <c r="AY7" s="152">
        <f>-(Pieņēmumi!$D$42*'Naudas plūsma'!AY4)</f>
        <v>-5539.9981776917466</v>
      </c>
      <c r="AZ7" s="152">
        <f>-(Pieņēmumi!$D$42*'Naudas plūsma'!AZ4)</f>
        <v>-5650.7981412455829</v>
      </c>
    </row>
    <row r="8" spans="1:212" s="43" customFormat="1" ht="20" customHeight="1" x14ac:dyDescent="0.25">
      <c r="B8" s="126" t="s">
        <v>144</v>
      </c>
      <c r="C8" s="152"/>
      <c r="D8" s="152"/>
      <c r="E8" s="152">
        <f>-(Pieņēmumi!$D$43*'Naudas plūsma'!E4)</f>
        <v>-1485.28728</v>
      </c>
      <c r="F8" s="152">
        <f>-(Pieņēmumi!$D$43*'Naudas plūsma'!F4)</f>
        <v>-1514.9930256</v>
      </c>
      <c r="G8" s="152">
        <f>-(Pieņēmumi!$D$43*'Naudas plūsma'!G4)</f>
        <v>-1545.2928861119997</v>
      </c>
      <c r="H8" s="152">
        <f>-(Pieņēmumi!$D$43*'Naudas plūsma'!H4)</f>
        <v>-1576.1987438342398</v>
      </c>
      <c r="I8" s="152">
        <f>-(Pieņēmumi!$D$43*'Naudas plūsma'!I4)</f>
        <v>-1607.7227187109249</v>
      </c>
      <c r="J8" s="152">
        <f>-(Pieņēmumi!$D$43*'Naudas plūsma'!J4)</f>
        <v>-1639.8771730851433</v>
      </c>
      <c r="K8" s="152">
        <f>-(Pieņēmumi!$D$43*'Naudas plūsma'!K4)</f>
        <v>-1672.6747165468457</v>
      </c>
      <c r="L8" s="152">
        <f>-(Pieņēmumi!$D$43*'Naudas plūsma'!L4)</f>
        <v>-1706.128210877783</v>
      </c>
      <c r="M8" s="152">
        <f>-(Pieņēmumi!$D$43*'Naudas plūsma'!M4)</f>
        <v>-1740.2507750953384</v>
      </c>
      <c r="N8" s="152">
        <f>-(Pieņēmumi!$D$43*'Naudas plūsma'!N4)</f>
        <v>-1775.0557905972453</v>
      </c>
      <c r="O8" s="152">
        <f>-(Pieņēmumi!$D$43*'Naudas plūsma'!O4)</f>
        <v>-1810.5569064091899</v>
      </c>
      <c r="P8" s="152">
        <f>-(Pieņēmumi!$D$43*'Naudas plūsma'!P4)</f>
        <v>-1846.7680445373742</v>
      </c>
      <c r="Q8" s="152">
        <f>-(Pieņēmumi!$D$43*'Naudas plūsma'!Q4)</f>
        <v>-1883.7034054281214</v>
      </c>
      <c r="R8" s="152">
        <f>-(Pieņēmumi!$D$43*'Naudas plūsma'!R4)</f>
        <v>-1921.3774735366842</v>
      </c>
      <c r="S8" s="152">
        <f>-(Pieņēmumi!$D$43*'Naudas plūsma'!S4)</f>
        <v>-1959.805023007417</v>
      </c>
      <c r="T8" s="152">
        <f>-(Pieņēmumi!$D$43*'Naudas plūsma'!T4)</f>
        <v>-1999.0011234675658</v>
      </c>
      <c r="U8" s="152">
        <f>-(Pieņēmumi!$D$43*'Naudas plūsma'!U4)</f>
        <v>-2038.9811459369178</v>
      </c>
      <c r="V8" s="152">
        <f>-(Pieņēmumi!$D$43*'Naudas plūsma'!V4)</f>
        <v>-2079.7607688556554</v>
      </c>
      <c r="W8" s="152">
        <f>-(Pieņēmumi!$D$43*'Naudas plūsma'!W4)</f>
        <v>-2121.3559842327682</v>
      </c>
      <c r="X8" s="152">
        <f>-(Pieņēmumi!$D$43*'Naudas plūsma'!X4)</f>
        <v>-2163.7831039174243</v>
      </c>
      <c r="Y8" s="152">
        <f>-(Pieņēmumi!$D$43*'Naudas plūsma'!Y4)</f>
        <v>-2207.0587659957723</v>
      </c>
      <c r="Z8" s="152">
        <f>-(Pieņēmumi!$D$43*'Naudas plūsma'!Z4)</f>
        <v>-2251.1999413156882</v>
      </c>
      <c r="AA8" s="152">
        <f>-(Pieņēmumi!$D$43*'Naudas plūsma'!AA4)</f>
        <v>-2296.2239401420015</v>
      </c>
      <c r="AB8" s="152">
        <f>-(Pieņēmumi!$D$43*'Naudas plūsma'!AB4)</f>
        <v>-2342.1484189448415</v>
      </c>
      <c r="AC8" s="152">
        <f>-(Pieņēmumi!$D$43*'Naudas plūsma'!AC4)</f>
        <v>-2388.9913873237383</v>
      </c>
      <c r="AD8" s="152">
        <f>-(Pieņēmumi!$D$43*'Naudas plūsma'!AD4)</f>
        <v>-2436.7712150702132</v>
      </c>
      <c r="AE8" s="152">
        <f>-(Pieņēmumi!$D$43*'Naudas plūsma'!AE4)</f>
        <v>-2485.5066393716174</v>
      </c>
      <c r="AF8" s="152">
        <f>-(Pieņēmumi!$D$43*'Naudas plūsma'!AF4)</f>
        <v>-2535.2167721590499</v>
      </c>
      <c r="AG8" s="152">
        <f>-(Pieņēmumi!$D$43*'Naudas plūsma'!AG4)</f>
        <v>-2585.9211076022307</v>
      </c>
      <c r="AH8" s="152">
        <f>-(Pieņēmumi!$D$43*'Naudas plūsma'!AH4)</f>
        <v>-2637.6395297542754</v>
      </c>
      <c r="AI8" s="152">
        <f>-(Pieņēmumi!$D$43*'Naudas plūsma'!AI4)</f>
        <v>-2690.3923203493605</v>
      </c>
      <c r="AJ8" s="152">
        <f>-(Pieņēmumi!$D$43*'Naudas plūsma'!AJ4)</f>
        <v>-2744.2001667563482</v>
      </c>
      <c r="AK8" s="152">
        <f>-(Pieņēmumi!$D$43*'Naudas plūsma'!AK4)</f>
        <v>-2799.0841700914752</v>
      </c>
      <c r="AL8" s="152">
        <f>-(Pieņēmumi!$D$43*'Naudas plūsma'!AL4)</f>
        <v>-2855.0658534933041</v>
      </c>
      <c r="AM8" s="152">
        <f>-(Pieņēmumi!$D$43*'Naudas plūsma'!AM4)</f>
        <v>-2912.1671705631702</v>
      </c>
      <c r="AN8" s="152">
        <f>-(Pieņēmumi!$D$43*'Naudas plūsma'!AN4)</f>
        <v>-2970.4105139744338</v>
      </c>
      <c r="AO8" s="152">
        <f>-(Pieņēmumi!$D$43*'Naudas plūsma'!AO4)</f>
        <v>-3029.8187242539229</v>
      </c>
      <c r="AP8" s="152">
        <f>-(Pieņēmumi!$D$43*'Naudas plūsma'!AP4)</f>
        <v>-3090.4150987390017</v>
      </c>
      <c r="AQ8" s="152">
        <f>-(Pieņēmumi!$D$43*'Naudas plūsma'!AQ4)</f>
        <v>-3152.2234007137804</v>
      </c>
      <c r="AR8" s="152">
        <f>-(Pieņēmumi!$D$43*'Naudas plūsma'!AR4)</f>
        <v>-3215.2678687280572</v>
      </c>
      <c r="AS8" s="152">
        <f>-(Pieņēmumi!$D$43*'Naudas plūsma'!AS4)</f>
        <v>-3279.5732261026178</v>
      </c>
      <c r="AT8" s="152">
        <f>-(Pieņēmumi!$D$43*'Naudas plūsma'!AT4)</f>
        <v>-3345.1646906246697</v>
      </c>
      <c r="AU8" s="152">
        <f>-(Pieņēmumi!$D$43*'Naudas plūsma'!AU4)</f>
        <v>-3412.0679844371634</v>
      </c>
      <c r="AV8" s="152">
        <f>-(Pieņēmumi!$D$43*'Naudas plūsma'!AV4)</f>
        <v>-3480.3093441259075</v>
      </c>
      <c r="AW8" s="152">
        <f>-(Pieņēmumi!$D$43*'Naudas plūsma'!AW4)</f>
        <v>-3549.9155310084248</v>
      </c>
      <c r="AX8" s="152">
        <f>-(Pieņēmumi!$D$43*'Naudas plūsma'!AX4)</f>
        <v>-3620.9138416285941</v>
      </c>
      <c r="AY8" s="152">
        <f>-(Pieņēmumi!$D$43*'Naudas plūsma'!AY4)</f>
        <v>-3693.3321184611646</v>
      </c>
      <c r="AZ8" s="152">
        <f>-(Pieņēmumi!$D$43*'Naudas plūsma'!AZ4)</f>
        <v>-3767.1987608303884</v>
      </c>
    </row>
    <row r="9" spans="1:212" s="43" customFormat="1" ht="20" customHeight="1" x14ac:dyDescent="0.25">
      <c r="B9" s="126" t="s">
        <v>37</v>
      </c>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c r="AE9" s="152"/>
      <c r="AF9" s="152"/>
      <c r="AG9" s="152"/>
      <c r="AH9" s="152"/>
      <c r="AI9" s="152">
        <f>-(Pieņēmumi!$D$44*'Naudas plūsma'!AI4)</f>
        <v>-44839.872005822675</v>
      </c>
      <c r="AJ9" s="152">
        <f>-(Pieņēmumi!$D$44*'Naudas plūsma'!AJ4)</f>
        <v>-45736.669445939136</v>
      </c>
      <c r="AK9" s="152">
        <f>-(Pieņēmumi!$D$44*'Naudas plūsma'!AK4)</f>
        <v>-46651.402834857923</v>
      </c>
      <c r="AL9" s="152">
        <f>-(Pieņēmumi!$D$44*'Naudas plūsma'!AL4)</f>
        <v>-47584.430891555072</v>
      </c>
      <c r="AM9" s="152">
        <f>-(Pieņēmumi!$D$44*'Naudas plūsma'!AM4)</f>
        <v>-48536.119509386175</v>
      </c>
      <c r="AN9" s="152">
        <f>-(Pieņēmumi!$D$44*'Naudas plūsma'!AN4)</f>
        <v>-49506.841899573898</v>
      </c>
      <c r="AO9" s="152">
        <f>-(Pieņēmumi!$D$44*'Naudas plūsma'!AO4)</f>
        <v>-50496.978737565383</v>
      </c>
      <c r="AP9" s="152">
        <f>-(Pieņēmumi!$D$44*'Naudas plūsma'!AP4)</f>
        <v>-51506.918312316695</v>
      </c>
      <c r="AQ9" s="152">
        <f>-(Pieņēmumi!$D$44*'Naudas plūsma'!AQ4)</f>
        <v>-52537.056678563007</v>
      </c>
      <c r="AR9" s="152">
        <f>-(Pieņēmumi!$D$44*'Naudas plūsma'!AR4)</f>
        <v>-53587.797812134289</v>
      </c>
      <c r="AS9" s="152">
        <f>-(Pieņēmumi!$D$44*'Naudas plūsma'!AS4)</f>
        <v>-54659.553768376965</v>
      </c>
      <c r="AT9" s="152">
        <f>-(Pieņēmumi!$D$44*'Naudas plūsma'!AT4)</f>
        <v>-55752.744843744498</v>
      </c>
      <c r="AU9" s="152">
        <f>-(Pieņēmumi!$D$44*'Naudas plūsma'!AU4)</f>
        <v>-56867.79974061939</v>
      </c>
      <c r="AV9" s="152">
        <f>-(Pieņēmumi!$D$44*'Naudas plūsma'!AV4)</f>
        <v>-58005.155735431792</v>
      </c>
      <c r="AW9" s="152">
        <f>-(Pieņēmumi!$D$44*'Naudas plūsma'!AW4)</f>
        <v>-59165.258850140417</v>
      </c>
      <c r="AX9" s="152">
        <f>-(Pieņēmumi!$D$44*'Naudas plūsma'!AX4)</f>
        <v>-60348.564027143235</v>
      </c>
      <c r="AY9" s="152">
        <f>-(Pieņēmumi!$D$44*'Naudas plūsma'!AY4)</f>
        <v>-61555.535307686077</v>
      </c>
      <c r="AZ9" s="152">
        <f>-(Pieņēmumi!$D$44*'Naudas plūsma'!AZ4)</f>
        <v>-62786.646013839811</v>
      </c>
    </row>
    <row r="10" spans="1:212" s="43" customFormat="1" ht="20" customHeight="1" x14ac:dyDescent="0.25">
      <c r="B10" s="153" t="s">
        <v>42</v>
      </c>
      <c r="C10" s="151">
        <f>SUM(C11:C12)</f>
        <v>-8488.1182749</v>
      </c>
      <c r="D10" s="151">
        <f>SUM(D11:D12)</f>
        <v>-25464.354824700004</v>
      </c>
      <c r="E10" s="151">
        <f t="shared" ref="E10:AZ10" si="2">SUM(E11:E12)</f>
        <v>-30102.435531600004</v>
      </c>
      <c r="F10" s="151">
        <f t="shared" si="2"/>
        <v>-26252.397963600004</v>
      </c>
      <c r="G10" s="151">
        <f t="shared" si="2"/>
        <v>-26252.397963600004</v>
      </c>
      <c r="H10" s="151">
        <f t="shared" si="2"/>
        <v>-26252.397963600004</v>
      </c>
      <c r="I10" s="151">
        <f t="shared" si="2"/>
        <v>-26252.397963600004</v>
      </c>
      <c r="J10" s="151">
        <f t="shared" si="2"/>
        <v>-25909.861048950006</v>
      </c>
      <c r="K10" s="151">
        <f t="shared" si="2"/>
        <v>-25224.787219650003</v>
      </c>
      <c r="L10" s="151">
        <f t="shared" si="2"/>
        <v>-24539.713390350003</v>
      </c>
      <c r="M10" s="151">
        <f t="shared" si="2"/>
        <v>-23854.639561050004</v>
      </c>
      <c r="N10" s="151">
        <f t="shared" si="2"/>
        <v>-23169.565731750004</v>
      </c>
      <c r="O10" s="151">
        <f t="shared" si="2"/>
        <v>-21699.337205790005</v>
      </c>
      <c r="P10" s="151">
        <f t="shared" si="2"/>
        <v>-19443.953983170002</v>
      </c>
      <c r="Q10" s="151">
        <f t="shared" si="2"/>
        <v>-17188.570760550003</v>
      </c>
      <c r="R10" s="151">
        <f t="shared" si="2"/>
        <v>-14933.18753793</v>
      </c>
      <c r="S10" s="151">
        <f t="shared" si="2"/>
        <v>-12677.804315310002</v>
      </c>
      <c r="T10" s="151">
        <f t="shared" si="2"/>
        <v>-11165.1089472</v>
      </c>
      <c r="U10" s="151">
        <f t="shared" si="2"/>
        <v>-10395.101433600001</v>
      </c>
      <c r="V10" s="151">
        <f t="shared" si="2"/>
        <v>-9625.0939200000012</v>
      </c>
      <c r="W10" s="151">
        <f t="shared" si="2"/>
        <v>-8855.0864063999998</v>
      </c>
      <c r="X10" s="151">
        <f t="shared" si="2"/>
        <v>-8085.0788928000002</v>
      </c>
      <c r="Y10" s="151">
        <f t="shared" si="2"/>
        <v>-7315.0713791999997</v>
      </c>
      <c r="Z10" s="151">
        <f t="shared" si="2"/>
        <v>-6545.0638655999992</v>
      </c>
      <c r="AA10" s="151">
        <f t="shared" si="2"/>
        <v>-5775.0563519999987</v>
      </c>
      <c r="AB10" s="151">
        <f t="shared" si="2"/>
        <v>-5005.0488383999991</v>
      </c>
      <c r="AC10" s="151">
        <f t="shared" si="2"/>
        <v>-4235.0413248000004</v>
      </c>
      <c r="AD10" s="151">
        <f t="shared" si="2"/>
        <v>-3465.0338111999999</v>
      </c>
      <c r="AE10" s="151">
        <f t="shared" si="2"/>
        <v>-2695.0262976000004</v>
      </c>
      <c r="AF10" s="151">
        <f t="shared" si="2"/>
        <v>-1925.0187839999999</v>
      </c>
      <c r="AG10" s="151">
        <f t="shared" si="2"/>
        <v>-1155.0112704000001</v>
      </c>
      <c r="AH10" s="151">
        <f t="shared" si="2"/>
        <v>-385.00375680000002</v>
      </c>
      <c r="AI10" s="151">
        <f t="shared" si="2"/>
        <v>0</v>
      </c>
      <c r="AJ10" s="151">
        <f t="shared" si="2"/>
        <v>0</v>
      </c>
      <c r="AK10" s="151">
        <f t="shared" si="2"/>
        <v>0</v>
      </c>
      <c r="AL10" s="151">
        <f t="shared" si="2"/>
        <v>0</v>
      </c>
      <c r="AM10" s="151">
        <f t="shared" si="2"/>
        <v>0</v>
      </c>
      <c r="AN10" s="151">
        <f t="shared" si="2"/>
        <v>0</v>
      </c>
      <c r="AO10" s="151">
        <f t="shared" si="2"/>
        <v>0</v>
      </c>
      <c r="AP10" s="151">
        <f t="shared" si="2"/>
        <v>0</v>
      </c>
      <c r="AQ10" s="151">
        <f t="shared" si="2"/>
        <v>0</v>
      </c>
      <c r="AR10" s="151">
        <f t="shared" si="2"/>
        <v>0</v>
      </c>
      <c r="AS10" s="151">
        <f t="shared" si="2"/>
        <v>0</v>
      </c>
      <c r="AT10" s="151">
        <f t="shared" si="2"/>
        <v>0</v>
      </c>
      <c r="AU10" s="151">
        <f t="shared" si="2"/>
        <v>0</v>
      </c>
      <c r="AV10" s="151">
        <f t="shared" si="2"/>
        <v>0</v>
      </c>
      <c r="AW10" s="151">
        <f t="shared" si="2"/>
        <v>0</v>
      </c>
      <c r="AX10" s="151">
        <f t="shared" si="2"/>
        <v>0</v>
      </c>
      <c r="AY10" s="151">
        <f t="shared" si="2"/>
        <v>0</v>
      </c>
      <c r="AZ10" s="151">
        <f t="shared" si="2"/>
        <v>0</v>
      </c>
    </row>
    <row r="11" spans="1:212" s="43" customFormat="1" ht="20" customHeight="1" x14ac:dyDescent="0.25">
      <c r="B11" s="126" t="s">
        <v>220</v>
      </c>
      <c r="C11" s="152">
        <f>Finansējums!J40+Finansējums!J53</f>
        <v>-6775.4337016500003</v>
      </c>
      <c r="D11" s="152">
        <f>Finansējums!K40+Finansējums!K53</f>
        <v>-20326.301104950002</v>
      </c>
      <c r="E11" s="152">
        <f>Finansējums!L40+Finansējums!L53</f>
        <v>-23251.697238600002</v>
      </c>
      <c r="F11" s="152">
        <f>Finansējums!M40+Finansējums!M53</f>
        <v>-19401.659670600002</v>
      </c>
      <c r="G11" s="152">
        <f>Finansējums!N40+Finansējums!N53</f>
        <v>-19401.659670600002</v>
      </c>
      <c r="H11" s="152">
        <f>Finansējums!O40+Finansējums!O53</f>
        <v>-19401.659670600002</v>
      </c>
      <c r="I11" s="152">
        <f>Finansējums!P40+Finansējums!P53</f>
        <v>-19401.659670600002</v>
      </c>
      <c r="J11" s="152">
        <f>Finansējums!Q40+Finansējums!Q53</f>
        <v>-19401.659670600002</v>
      </c>
      <c r="K11" s="152">
        <f>Finansējums!R40+Finansējums!R53</f>
        <v>-19401.659670600002</v>
      </c>
      <c r="L11" s="152">
        <f>Finansējums!S40+Finansējums!S53</f>
        <v>-19401.659670600002</v>
      </c>
      <c r="M11" s="152">
        <f>Finansējums!T40+Finansējums!T53</f>
        <v>-19401.659670600002</v>
      </c>
      <c r="N11" s="152">
        <f>Finansējums!U40+Finansējums!U53</f>
        <v>-19401.659670600002</v>
      </c>
      <c r="O11" s="152">
        <f>Finansējums!V40+Finansējums!V53</f>
        <v>-18616.504973940006</v>
      </c>
      <c r="P11" s="152">
        <f>Finansējums!W40+Finansējums!W53</f>
        <v>-17046.195580620002</v>
      </c>
      <c r="Q11" s="152">
        <f>Finansējums!X40+Finansējums!X53</f>
        <v>-15475.886187300002</v>
      </c>
      <c r="R11" s="152">
        <f>Finansējums!Y40+Finansējums!Y53</f>
        <v>-13905.576793980001</v>
      </c>
      <c r="S11" s="152">
        <f>Finansējums!Z40+Finansējums!Z53</f>
        <v>-12335.267400660003</v>
      </c>
      <c r="T11" s="152">
        <f>Finansējums!AA40+Finansējums!AA53</f>
        <v>-11165.1089472</v>
      </c>
      <c r="U11" s="152">
        <f>Finansējums!AB40+Finansējums!AB53</f>
        <v>-10395.101433600001</v>
      </c>
      <c r="V11" s="152">
        <f>Finansējums!AC40+Finansējums!AC53</f>
        <v>-9625.0939200000012</v>
      </c>
      <c r="W11" s="152">
        <f>Finansējums!AD40+Finansējums!AD53</f>
        <v>-8855.0864063999998</v>
      </c>
      <c r="X11" s="152">
        <f>Finansējums!AE40+Finansējums!AE53</f>
        <v>-8085.0788928000002</v>
      </c>
      <c r="Y11" s="152">
        <f>Finansējums!AF40+Finansējums!AF53</f>
        <v>-7315.0713791999997</v>
      </c>
      <c r="Z11" s="152">
        <f>Finansējums!AG40+Finansējums!AG53</f>
        <v>-6545.0638655999992</v>
      </c>
      <c r="AA11" s="152">
        <f>Finansējums!AH40+Finansējums!AH53</f>
        <v>-5775.0563519999987</v>
      </c>
      <c r="AB11" s="152">
        <f>Finansējums!AI40+Finansējums!AI53</f>
        <v>-5005.0488383999991</v>
      </c>
      <c r="AC11" s="152">
        <f>Finansējums!AJ40+Finansējums!AJ53</f>
        <v>-4235.0413248000004</v>
      </c>
      <c r="AD11" s="152">
        <f>Finansējums!AK40+Finansējums!AK53</f>
        <v>-3465.0338111999999</v>
      </c>
      <c r="AE11" s="152">
        <f>Finansējums!AL40+Finansējums!AL53</f>
        <v>-2695.0262976000004</v>
      </c>
      <c r="AF11" s="152">
        <f>Finansējums!AM40+Finansējums!AM53</f>
        <v>-1925.0187839999999</v>
      </c>
      <c r="AG11" s="152">
        <f>Finansējums!AN40+Finansējums!AN53</f>
        <v>-1155.0112704000001</v>
      </c>
      <c r="AH11" s="152">
        <f>Finansējums!AO40+Finansējums!AO53</f>
        <v>-385.00375680000002</v>
      </c>
      <c r="AI11" s="152">
        <f>Finansējums!AP40+Finansējums!AP53</f>
        <v>0</v>
      </c>
      <c r="AJ11" s="152">
        <f>Finansējums!AQ40+Finansējums!AQ53</f>
        <v>0</v>
      </c>
      <c r="AK11" s="152">
        <f>Finansējums!AR40+Finansējums!AR53</f>
        <v>0</v>
      </c>
      <c r="AL11" s="152">
        <f>Finansējums!AS40+Finansējums!AS53</f>
        <v>0</v>
      </c>
      <c r="AM11" s="152">
        <f>Finansējums!AT40+Finansējums!AT53</f>
        <v>0</v>
      </c>
      <c r="AN11" s="152">
        <f>Finansējums!AU40+Finansējums!AU53</f>
        <v>0</v>
      </c>
      <c r="AO11" s="152">
        <f>Finansējums!AV40+Finansējums!AV53</f>
        <v>0</v>
      </c>
      <c r="AP11" s="152">
        <f>Finansējums!AW40+Finansējums!AW53</f>
        <v>0</v>
      </c>
      <c r="AQ11" s="152">
        <f>Finansējums!AX40+Finansējums!AX53</f>
        <v>0</v>
      </c>
      <c r="AR11" s="152">
        <f>Finansējums!AY40+Finansējums!AY53</f>
        <v>0</v>
      </c>
      <c r="AS11" s="152">
        <f>Finansējums!AZ40+Finansējums!AZ53</f>
        <v>0</v>
      </c>
      <c r="AT11" s="152">
        <f>Finansējums!BA40+Finansējums!BA53</f>
        <v>0</v>
      </c>
      <c r="AU11" s="152">
        <f>Finansējums!BB40+Finansējums!BB53</f>
        <v>0</v>
      </c>
      <c r="AV11" s="152">
        <f>Finansējums!BC40+Finansējums!BC53</f>
        <v>0</v>
      </c>
      <c r="AW11" s="152">
        <f>Finansējums!BD40+Finansējums!BD53</f>
        <v>0</v>
      </c>
      <c r="AX11" s="152">
        <f>Finansējums!BE40+Finansējums!BE53</f>
        <v>0</v>
      </c>
      <c r="AY11" s="152">
        <f>Finansējums!BF40+Finansējums!BF53</f>
        <v>0</v>
      </c>
      <c r="AZ11" s="152">
        <f>Finansējums!BG40+Finansējums!BG53</f>
        <v>0</v>
      </c>
    </row>
    <row r="12" spans="1:212" s="43" customFormat="1" ht="20" customHeight="1" x14ac:dyDescent="0.25">
      <c r="B12" s="126" t="s">
        <v>18</v>
      </c>
      <c r="C12" s="152">
        <f>Finansējums!J66</f>
        <v>-1712.6845732500003</v>
      </c>
      <c r="D12" s="152">
        <f>Finansējums!K66</f>
        <v>-5138.0537197500016</v>
      </c>
      <c r="E12" s="152">
        <f>Finansējums!L66</f>
        <v>-6850.7382930000012</v>
      </c>
      <c r="F12" s="152">
        <f>Finansējums!M66</f>
        <v>-6850.7382930000012</v>
      </c>
      <c r="G12" s="152">
        <f>Finansējums!N66</f>
        <v>-6850.7382930000012</v>
      </c>
      <c r="H12" s="152">
        <f>Finansējums!O66</f>
        <v>-6850.7382930000012</v>
      </c>
      <c r="I12" s="152">
        <f>Finansējums!P66</f>
        <v>-6850.7382930000012</v>
      </c>
      <c r="J12" s="152">
        <f>Finansējums!Q66</f>
        <v>-6508.2013783500024</v>
      </c>
      <c r="K12" s="152">
        <f>Finansējums!R66</f>
        <v>-5823.1275490500011</v>
      </c>
      <c r="L12" s="152">
        <f>Finansējums!S66</f>
        <v>-5138.0537197500025</v>
      </c>
      <c r="M12" s="152">
        <f>Finansējums!T66</f>
        <v>-4452.9798904500012</v>
      </c>
      <c r="N12" s="152">
        <f>Finansējums!U66</f>
        <v>-3767.9060611500017</v>
      </c>
      <c r="O12" s="152">
        <f>Finansējums!V66</f>
        <v>-3082.8322318500009</v>
      </c>
      <c r="P12" s="152">
        <f>Finansējums!W66</f>
        <v>-2397.7584025500009</v>
      </c>
      <c r="Q12" s="152">
        <f>Finansējums!X66</f>
        <v>-1712.6845732500003</v>
      </c>
      <c r="R12" s="152">
        <f>Finansējums!Y66</f>
        <v>-1027.6107439500001</v>
      </c>
      <c r="S12" s="152">
        <f>Finansējums!Z66</f>
        <v>-342.53691465000003</v>
      </c>
      <c r="T12" s="152">
        <f>Finansējums!AA66</f>
        <v>0</v>
      </c>
      <c r="U12" s="152">
        <f>Finansējums!AB66</f>
        <v>0</v>
      </c>
      <c r="V12" s="152">
        <f>Finansējums!AC66</f>
        <v>0</v>
      </c>
      <c r="W12" s="152">
        <f>Finansējums!AD66</f>
        <v>0</v>
      </c>
      <c r="X12" s="152">
        <f>Finansējums!AE66</f>
        <v>0</v>
      </c>
      <c r="Y12" s="152">
        <f>Finansējums!AF66</f>
        <v>0</v>
      </c>
      <c r="Z12" s="152">
        <f>Finansējums!AG66</f>
        <v>0</v>
      </c>
      <c r="AA12" s="152">
        <f>Finansējums!AH66</f>
        <v>0</v>
      </c>
      <c r="AB12" s="152">
        <f>Finansējums!AI66</f>
        <v>0</v>
      </c>
      <c r="AC12" s="152">
        <f>Finansējums!AJ66</f>
        <v>0</v>
      </c>
      <c r="AD12" s="152">
        <f>Finansējums!AK66</f>
        <v>0</v>
      </c>
      <c r="AE12" s="152">
        <f>Finansējums!AL66</f>
        <v>0</v>
      </c>
      <c r="AF12" s="152">
        <f>Finansējums!AM66</f>
        <v>0</v>
      </c>
      <c r="AG12" s="152">
        <f>Finansējums!AN66</f>
        <v>0</v>
      </c>
      <c r="AH12" s="152">
        <f>Finansējums!AO66</f>
        <v>0</v>
      </c>
      <c r="AI12" s="152">
        <f>Finansējums!AP66</f>
        <v>0</v>
      </c>
      <c r="AJ12" s="152">
        <f>Finansējums!AQ66</f>
        <v>0</v>
      </c>
      <c r="AK12" s="152">
        <f>Finansējums!AR66</f>
        <v>0</v>
      </c>
      <c r="AL12" s="152">
        <f>Finansējums!AS66</f>
        <v>0</v>
      </c>
      <c r="AM12" s="152">
        <f>Finansējums!AT66</f>
        <v>0</v>
      </c>
      <c r="AN12" s="152">
        <f>Finansējums!AU66</f>
        <v>0</v>
      </c>
      <c r="AO12" s="152">
        <f>Finansējums!AV66</f>
        <v>0</v>
      </c>
      <c r="AP12" s="152">
        <f>Finansējums!AW66</f>
        <v>0</v>
      </c>
      <c r="AQ12" s="152">
        <f>Finansējums!AX66</f>
        <v>0</v>
      </c>
      <c r="AR12" s="152">
        <f>Finansējums!AY66</f>
        <v>0</v>
      </c>
      <c r="AS12" s="152">
        <f>Finansējums!AZ66</f>
        <v>0</v>
      </c>
      <c r="AT12" s="152">
        <f>Finansējums!BA66</f>
        <v>0</v>
      </c>
      <c r="AU12" s="152">
        <f>Finansējums!BB66</f>
        <v>0</v>
      </c>
      <c r="AV12" s="152">
        <f>Finansējums!BC66</f>
        <v>0</v>
      </c>
      <c r="AW12" s="152">
        <f>Finansējums!BD66</f>
        <v>0</v>
      </c>
      <c r="AX12" s="152">
        <f>Finansējums!BE66</f>
        <v>0</v>
      </c>
      <c r="AY12" s="152">
        <f>Finansējums!BF66</f>
        <v>0</v>
      </c>
      <c r="AZ12" s="152">
        <f>Finansējums!BG66</f>
        <v>0</v>
      </c>
    </row>
    <row r="13" spans="1:212" s="57" customFormat="1" ht="20" customHeight="1" x14ac:dyDescent="0.25">
      <c r="A13" s="53"/>
      <c r="B13" s="154" t="s">
        <v>45</v>
      </c>
      <c r="C13" s="155">
        <f t="shared" ref="C13:AH13" si="3">C4+C6+C10</f>
        <v>-8488.1182749</v>
      </c>
      <c r="D13" s="155">
        <f t="shared" si="3"/>
        <v>-25464.354824700004</v>
      </c>
      <c r="E13" s="155">
        <f t="shared" si="3"/>
        <v>15693.922268399994</v>
      </c>
      <c r="F13" s="155">
        <f t="shared" si="3"/>
        <v>20459.886992399999</v>
      </c>
      <c r="G13" s="155">
        <f t="shared" si="3"/>
        <v>21394.132691519993</v>
      </c>
      <c r="H13" s="155">
        <f t="shared" si="3"/>
        <v>22347.063304622392</v>
      </c>
      <c r="I13" s="155">
        <f t="shared" si="3"/>
        <v>23319.05252998685</v>
      </c>
      <c r="J13" s="155">
        <f t="shared" si="3"/>
        <v>24653.018454508579</v>
      </c>
      <c r="K13" s="155">
        <f t="shared" si="3"/>
        <v>26349.349873877742</v>
      </c>
      <c r="L13" s="155">
        <f t="shared" si="3"/>
        <v>28065.906445048302</v>
      </c>
      <c r="M13" s="155">
        <f t="shared" si="3"/>
        <v>29803.092671056271</v>
      </c>
      <c r="N13" s="155">
        <f t="shared" si="3"/>
        <v>31561.321144998397</v>
      </c>
      <c r="O13" s="155">
        <f t="shared" si="3"/>
        <v>34126.167408493355</v>
      </c>
      <c r="P13" s="155">
        <f t="shared" si="3"/>
        <v>37498.060723399038</v>
      </c>
      <c r="Q13" s="155">
        <f t="shared" si="3"/>
        <v>40892.284240150402</v>
      </c>
      <c r="R13" s="155">
        <f t="shared" si="3"/>
        <v>44309.284562784436</v>
      </c>
      <c r="S13" s="155">
        <f t="shared" si="3"/>
        <v>47749.517227418692</v>
      </c>
      <c r="T13" s="155">
        <f t="shared" si="3"/>
        <v>50470.759026383283</v>
      </c>
      <c r="U13" s="155">
        <f t="shared" si="3"/>
        <v>52473.483899454965</v>
      </c>
      <c r="V13" s="155">
        <f t="shared" si="3"/>
        <v>54500.863119716043</v>
      </c>
      <c r="W13" s="155">
        <f t="shared" si="3"/>
        <v>56553.389774110365</v>
      </c>
      <c r="X13" s="155">
        <f t="shared" si="3"/>
        <v>58631.56681132059</v>
      </c>
      <c r="Y13" s="155">
        <f t="shared" si="3"/>
        <v>60735.907239002991</v>
      </c>
      <c r="Z13" s="155">
        <f t="shared" si="3"/>
        <v>62866.934324967056</v>
      </c>
      <c r="AA13" s="155">
        <f t="shared" si="3"/>
        <v>65025.181802378385</v>
      </c>
      <c r="AB13" s="155">
        <f t="shared" si="3"/>
        <v>67211.194079065943</v>
      </c>
      <c r="AC13" s="155">
        <f t="shared" si="3"/>
        <v>69425.526451015277</v>
      </c>
      <c r="AD13" s="155">
        <f t="shared" si="3"/>
        <v>71668.74532013158</v>
      </c>
      <c r="AE13" s="155">
        <f t="shared" si="3"/>
        <v>73941.428416358205</v>
      </c>
      <c r="AF13" s="155">
        <f t="shared" si="3"/>
        <v>76244.165024237373</v>
      </c>
      <c r="AG13" s="155">
        <f t="shared" si="3"/>
        <v>78577.556214002107</v>
      </c>
      <c r="AH13" s="155">
        <f t="shared" si="3"/>
        <v>80942.215077290166</v>
      </c>
      <c r="AI13" s="155">
        <f t="shared" ref="AI13:AZ13" si="4">AI4+AI6+AI10</f>
        <v>38113.891204949272</v>
      </c>
      <c r="AJ13" s="155">
        <f t="shared" si="4"/>
        <v>38876.169029048266</v>
      </c>
      <c r="AK13" s="155">
        <f t="shared" si="4"/>
        <v>39653.692409629235</v>
      </c>
      <c r="AL13" s="155">
        <f t="shared" si="4"/>
        <v>40446.766257821815</v>
      </c>
      <c r="AM13" s="155">
        <f t="shared" si="4"/>
        <v>41255.701582978247</v>
      </c>
      <c r="AN13" s="155">
        <f t="shared" si="4"/>
        <v>42080.815614637817</v>
      </c>
      <c r="AO13" s="155">
        <f t="shared" si="4"/>
        <v>42922.431926930578</v>
      </c>
      <c r="AP13" s="155">
        <f t="shared" si="4"/>
        <v>43780.88056546919</v>
      </c>
      <c r="AQ13" s="155">
        <f t="shared" si="4"/>
        <v>44656.498176778558</v>
      </c>
      <c r="AR13" s="155">
        <f t="shared" si="4"/>
        <v>45549.628140314147</v>
      </c>
      <c r="AS13" s="155">
        <f t="shared" si="4"/>
        <v>46460.620703120425</v>
      </c>
      <c r="AT13" s="155">
        <f t="shared" si="4"/>
        <v>47389.833117182825</v>
      </c>
      <c r="AU13" s="155">
        <f t="shared" si="4"/>
        <v>48337.629779526484</v>
      </c>
      <c r="AV13" s="155">
        <f t="shared" si="4"/>
        <v>49304.382375117028</v>
      </c>
      <c r="AW13" s="155">
        <f t="shared" si="4"/>
        <v>50290.470022619353</v>
      </c>
      <c r="AX13" s="155">
        <f t="shared" si="4"/>
        <v>51296.279423071755</v>
      </c>
      <c r="AY13" s="155">
        <f t="shared" si="4"/>
        <v>52322.205011533166</v>
      </c>
      <c r="AZ13" s="155">
        <f t="shared" si="4"/>
        <v>53368.649111763836</v>
      </c>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row>
    <row r="14" spans="1:212" s="43" customFormat="1" ht="20" customHeight="1" x14ac:dyDescent="0.25">
      <c r="B14" s="153" t="s">
        <v>44</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row>
    <row r="15" spans="1:212" s="43" customFormat="1" ht="20" customHeight="1" x14ac:dyDescent="0.25">
      <c r="B15" s="126" t="s">
        <v>17</v>
      </c>
      <c r="C15" s="152">
        <f>-'Pamatkapitāla ieguldījumi'!F36</f>
        <v>-623517.33180000004</v>
      </c>
      <c r="D15" s="152">
        <f>-'Pamatkapitāla ieguldījumi'!G36</f>
        <v>-623517.33180000004</v>
      </c>
      <c r="E15" s="152">
        <f>-'Pamatkapitāla ieguldījumi'!H36</f>
        <v>0</v>
      </c>
      <c r="F15" s="152">
        <f>-'Pamatkapitāla ieguldījumi'!I36</f>
        <v>0</v>
      </c>
      <c r="G15" s="152">
        <f>-'Pamatkapitāla ieguldījumi'!J36</f>
        <v>0</v>
      </c>
      <c r="H15" s="152">
        <f>-'Pamatkapitāla ieguldījumi'!K36</f>
        <v>0</v>
      </c>
      <c r="I15" s="152">
        <f>-'Pamatkapitāla ieguldījumi'!L36</f>
        <v>0</v>
      </c>
      <c r="J15" s="152">
        <f>-'Pamatkapitāla ieguldījumi'!M36</f>
        <v>0</v>
      </c>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row>
    <row r="16" spans="1:212" s="57" customFormat="1" ht="20" customHeight="1" x14ac:dyDescent="0.25">
      <c r="A16" s="53"/>
      <c r="B16" s="154" t="s">
        <v>46</v>
      </c>
      <c r="C16" s="155">
        <f t="shared" ref="C16:AH16" si="5">C15</f>
        <v>-623517.33180000004</v>
      </c>
      <c r="D16" s="155">
        <f t="shared" si="5"/>
        <v>-623517.33180000004</v>
      </c>
      <c r="E16" s="155">
        <f t="shared" si="5"/>
        <v>0</v>
      </c>
      <c r="F16" s="155">
        <f t="shared" si="5"/>
        <v>0</v>
      </c>
      <c r="G16" s="155">
        <f t="shared" si="5"/>
        <v>0</v>
      </c>
      <c r="H16" s="155">
        <f t="shared" si="5"/>
        <v>0</v>
      </c>
      <c r="I16" s="155">
        <f t="shared" si="5"/>
        <v>0</v>
      </c>
      <c r="J16" s="155">
        <f t="shared" si="5"/>
        <v>0</v>
      </c>
      <c r="K16" s="155">
        <f t="shared" si="5"/>
        <v>0</v>
      </c>
      <c r="L16" s="155">
        <f t="shared" si="5"/>
        <v>0</v>
      </c>
      <c r="M16" s="155">
        <f t="shared" si="5"/>
        <v>0</v>
      </c>
      <c r="N16" s="155">
        <f t="shared" si="5"/>
        <v>0</v>
      </c>
      <c r="O16" s="155">
        <f t="shared" si="5"/>
        <v>0</v>
      </c>
      <c r="P16" s="155">
        <f t="shared" si="5"/>
        <v>0</v>
      </c>
      <c r="Q16" s="155">
        <f t="shared" si="5"/>
        <v>0</v>
      </c>
      <c r="R16" s="155">
        <f t="shared" si="5"/>
        <v>0</v>
      </c>
      <c r="S16" s="155">
        <f t="shared" si="5"/>
        <v>0</v>
      </c>
      <c r="T16" s="155">
        <f t="shared" si="5"/>
        <v>0</v>
      </c>
      <c r="U16" s="155">
        <f t="shared" si="5"/>
        <v>0</v>
      </c>
      <c r="V16" s="155">
        <f t="shared" si="5"/>
        <v>0</v>
      </c>
      <c r="W16" s="155">
        <f t="shared" si="5"/>
        <v>0</v>
      </c>
      <c r="X16" s="155">
        <f t="shared" si="5"/>
        <v>0</v>
      </c>
      <c r="Y16" s="155">
        <f t="shared" si="5"/>
        <v>0</v>
      </c>
      <c r="Z16" s="155">
        <f t="shared" si="5"/>
        <v>0</v>
      </c>
      <c r="AA16" s="155">
        <f t="shared" si="5"/>
        <v>0</v>
      </c>
      <c r="AB16" s="155">
        <f t="shared" si="5"/>
        <v>0</v>
      </c>
      <c r="AC16" s="155">
        <f t="shared" si="5"/>
        <v>0</v>
      </c>
      <c r="AD16" s="155">
        <f t="shared" si="5"/>
        <v>0</v>
      </c>
      <c r="AE16" s="155">
        <f t="shared" si="5"/>
        <v>0</v>
      </c>
      <c r="AF16" s="155">
        <f t="shared" si="5"/>
        <v>0</v>
      </c>
      <c r="AG16" s="155">
        <f t="shared" si="5"/>
        <v>0</v>
      </c>
      <c r="AH16" s="155">
        <f t="shared" si="5"/>
        <v>0</v>
      </c>
      <c r="AI16" s="155">
        <f t="shared" ref="AI16:AZ16" si="6">AI15</f>
        <v>0</v>
      </c>
      <c r="AJ16" s="155">
        <f t="shared" si="6"/>
        <v>0</v>
      </c>
      <c r="AK16" s="155">
        <f t="shared" si="6"/>
        <v>0</v>
      </c>
      <c r="AL16" s="155">
        <f t="shared" si="6"/>
        <v>0</v>
      </c>
      <c r="AM16" s="155">
        <f t="shared" si="6"/>
        <v>0</v>
      </c>
      <c r="AN16" s="155">
        <f t="shared" si="6"/>
        <v>0</v>
      </c>
      <c r="AO16" s="155">
        <f t="shared" si="6"/>
        <v>0</v>
      </c>
      <c r="AP16" s="155">
        <f t="shared" si="6"/>
        <v>0</v>
      </c>
      <c r="AQ16" s="155">
        <f t="shared" si="6"/>
        <v>0</v>
      </c>
      <c r="AR16" s="155">
        <f t="shared" si="6"/>
        <v>0</v>
      </c>
      <c r="AS16" s="155">
        <f t="shared" si="6"/>
        <v>0</v>
      </c>
      <c r="AT16" s="155">
        <f t="shared" si="6"/>
        <v>0</v>
      </c>
      <c r="AU16" s="155">
        <f t="shared" si="6"/>
        <v>0</v>
      </c>
      <c r="AV16" s="155">
        <f t="shared" si="6"/>
        <v>0</v>
      </c>
      <c r="AW16" s="155">
        <f t="shared" si="6"/>
        <v>0</v>
      </c>
      <c r="AX16" s="155">
        <f t="shared" si="6"/>
        <v>0</v>
      </c>
      <c r="AY16" s="155">
        <f t="shared" si="6"/>
        <v>0</v>
      </c>
      <c r="AZ16" s="155">
        <f t="shared" si="6"/>
        <v>0</v>
      </c>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row>
    <row r="17" spans="1:212" s="43" customFormat="1" ht="20" customHeight="1" x14ac:dyDescent="0.25">
      <c r="B17" s="153" t="s">
        <v>43</v>
      </c>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row>
    <row r="18" spans="1:212" s="43" customFormat="1" ht="20" customHeight="1" x14ac:dyDescent="0.25">
      <c r="B18" s="156" t="s">
        <v>23</v>
      </c>
      <c r="C18" s="152">
        <f>Finansējums!J17</f>
        <v>31175.866590000005</v>
      </c>
      <c r="D18" s="152">
        <f>Finansējums!K17</f>
        <v>31175.866590000005</v>
      </c>
      <c r="E18" s="152">
        <f>Finansējums!L17</f>
        <v>0</v>
      </c>
      <c r="F18" s="152">
        <f>Finansējums!M17</f>
        <v>0</v>
      </c>
      <c r="G18" s="152">
        <f>Finansējums!N17</f>
        <v>0</v>
      </c>
      <c r="H18" s="152">
        <f>Finansējums!O17</f>
        <v>0</v>
      </c>
      <c r="I18" s="152">
        <f>Finansējums!P17</f>
        <v>0</v>
      </c>
      <c r="J18" s="152">
        <f>Finansējums!Q17</f>
        <v>0</v>
      </c>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row>
    <row r="19" spans="1:212" s="43" customFormat="1" ht="20" customHeight="1" x14ac:dyDescent="0.25">
      <c r="B19" s="156" t="s">
        <v>206</v>
      </c>
      <c r="C19" s="152">
        <f>Finansējums!J18+Finansējums!J19</f>
        <v>494473.77531000006</v>
      </c>
      <c r="D19" s="152">
        <f>Finansējums!K18+Finansējums!K19</f>
        <v>494473.77531000006</v>
      </c>
      <c r="E19" s="152">
        <f>Finansējums!L18+Finansējums!L19</f>
        <v>0</v>
      </c>
      <c r="F19" s="152">
        <f>Finansējums!M18+Finansējums!M19</f>
        <v>0</v>
      </c>
      <c r="G19" s="152">
        <f>Finansējums!N18+Finansējums!N19</f>
        <v>0</v>
      </c>
      <c r="H19" s="152">
        <f>Finansējums!O18+Finansējums!O19</f>
        <v>0</v>
      </c>
      <c r="I19" s="152">
        <f>Finansējums!P18+Finansējums!P19</f>
        <v>0</v>
      </c>
      <c r="J19" s="152">
        <f>Finansējums!Q18+Finansējums!Q19</f>
        <v>0</v>
      </c>
      <c r="K19" s="152">
        <f>Finansējums!R18+Finansējums!R19</f>
        <v>0</v>
      </c>
      <c r="L19" s="152">
        <f>Finansējums!S18+Finansējums!S19</f>
        <v>0</v>
      </c>
      <c r="M19" s="152">
        <f>Finansējums!T18+Finansējums!T19</f>
        <v>0</v>
      </c>
      <c r="N19" s="152">
        <f>Finansējums!U18+Finansējums!U19</f>
        <v>0</v>
      </c>
      <c r="O19" s="152">
        <f>Finansējums!V18+Finansējums!V19</f>
        <v>0</v>
      </c>
      <c r="P19" s="152">
        <f>Finansējums!W18+Finansējums!W19</f>
        <v>0</v>
      </c>
      <c r="Q19" s="152">
        <f>Finansējums!X18+Finansējums!X19</f>
        <v>0</v>
      </c>
      <c r="R19" s="152">
        <f>Finansējums!Y18+Finansējums!Y19</f>
        <v>0</v>
      </c>
      <c r="S19" s="152">
        <f>Finansējums!Z18+Finansējums!Z19</f>
        <v>0</v>
      </c>
      <c r="T19" s="152">
        <f>Finansējums!AA18+Finansējums!AA19</f>
        <v>0</v>
      </c>
      <c r="U19" s="152">
        <f>Finansējums!AB18+Finansējums!AB19</f>
        <v>0</v>
      </c>
      <c r="V19" s="152">
        <f>Finansējums!AC18+Finansējums!AC19</f>
        <v>0</v>
      </c>
      <c r="W19" s="152">
        <f>Finansējums!AD18+Finansējums!AD19</f>
        <v>0</v>
      </c>
      <c r="X19" s="152">
        <f>Finansējums!AE18+Finansējums!AE19</f>
        <v>0</v>
      </c>
      <c r="Y19" s="152">
        <f>Finansējums!AF18+Finansējums!AF19</f>
        <v>0</v>
      </c>
      <c r="Z19" s="152">
        <f>Finansējums!AG18+Finansējums!AG19</f>
        <v>0</v>
      </c>
      <c r="AA19" s="152">
        <f>Finansējums!AH18+Finansējums!AH19</f>
        <v>0</v>
      </c>
      <c r="AB19" s="152">
        <f>Finansējums!AI18+Finansējums!AI19</f>
        <v>0</v>
      </c>
      <c r="AC19" s="152">
        <f>Finansējums!AJ18+Finansējums!AJ19</f>
        <v>0</v>
      </c>
      <c r="AD19" s="152">
        <f>Finansējums!AK18+Finansējums!AK19</f>
        <v>0</v>
      </c>
      <c r="AE19" s="152">
        <f>Finansējums!AL18+Finansējums!AL19</f>
        <v>0</v>
      </c>
      <c r="AF19" s="152">
        <f>Finansējums!AM18+Finansējums!AM19</f>
        <v>0</v>
      </c>
      <c r="AG19" s="152">
        <f>Finansējums!AN18+Finansējums!AN19</f>
        <v>0</v>
      </c>
      <c r="AH19" s="152">
        <f>Finansējums!AO18+Finansējums!AO19</f>
        <v>0</v>
      </c>
      <c r="AI19" s="152">
        <f>Finansējums!AP18+Finansējums!AP19</f>
        <v>0</v>
      </c>
      <c r="AJ19" s="152">
        <f>Finansējums!AQ18+Finansējums!AQ19</f>
        <v>0</v>
      </c>
      <c r="AK19" s="152">
        <f>Finansējums!AR18+Finansējums!AR19</f>
        <v>0</v>
      </c>
      <c r="AL19" s="152">
        <f>Finansējums!AS18+Finansējums!AS19</f>
        <v>0</v>
      </c>
      <c r="AM19" s="152">
        <f>Finansējums!AT18+Finansējums!AT19</f>
        <v>0</v>
      </c>
      <c r="AN19" s="152">
        <f>Finansējums!AU18+Finansējums!AU19</f>
        <v>0</v>
      </c>
      <c r="AO19" s="152">
        <f>Finansējums!AV18+Finansējums!AV19</f>
        <v>0</v>
      </c>
      <c r="AP19" s="152">
        <f>Finansējums!AW18+Finansējums!AW19</f>
        <v>0</v>
      </c>
      <c r="AQ19" s="152">
        <f>Finansējums!AX18+Finansējums!AX19</f>
        <v>0</v>
      </c>
      <c r="AR19" s="152">
        <f>Finansējums!AY18+Finansējums!AY19</f>
        <v>0</v>
      </c>
      <c r="AS19" s="152">
        <f>Finansējums!AZ18+Finansējums!AZ19</f>
        <v>0</v>
      </c>
      <c r="AT19" s="152">
        <f>Finansējums!BA18+Finansējums!BA19</f>
        <v>0</v>
      </c>
      <c r="AU19" s="152">
        <f>Finansējums!BB18+Finansējums!BB19</f>
        <v>0</v>
      </c>
      <c r="AV19" s="152">
        <f>Finansējums!BC18+Finansējums!BC19</f>
        <v>0</v>
      </c>
      <c r="AW19" s="152">
        <f>Finansējums!BD18+Finansējums!BD19</f>
        <v>0</v>
      </c>
      <c r="AX19" s="152">
        <f>Finansējums!BE18+Finansējums!BE19</f>
        <v>0</v>
      </c>
      <c r="AY19" s="152">
        <f>Finansējums!BF18+Finansējums!BF19</f>
        <v>0</v>
      </c>
      <c r="AZ19" s="152">
        <f>Finansējums!BG18+Finansējums!BG19</f>
        <v>0</v>
      </c>
    </row>
    <row r="20" spans="1:212" s="43" customFormat="1" ht="20" customHeight="1" x14ac:dyDescent="0.25">
      <c r="B20" s="156" t="s">
        <v>12</v>
      </c>
      <c r="C20" s="152">
        <f>Finansējums!J20</f>
        <v>97867.689900000012</v>
      </c>
      <c r="D20" s="152">
        <f>Finansējums!K20</f>
        <v>97867.689900000012</v>
      </c>
      <c r="E20" s="152">
        <f>Finansējums!L20</f>
        <v>0</v>
      </c>
      <c r="F20" s="152">
        <f>Finansējums!M20</f>
        <v>0</v>
      </c>
      <c r="G20" s="152">
        <f>Finansējums!N20</f>
        <v>0</v>
      </c>
      <c r="H20" s="152">
        <f>Finansējums!O20</f>
        <v>0</v>
      </c>
      <c r="I20" s="152">
        <f>Finansējums!P20</f>
        <v>0</v>
      </c>
      <c r="J20" s="152">
        <f>Finansējums!Q20</f>
        <v>0</v>
      </c>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row>
    <row r="21" spans="1:212" s="43" customFormat="1" ht="20" customHeight="1" x14ac:dyDescent="0.25">
      <c r="B21" s="126" t="s">
        <v>283</v>
      </c>
      <c r="C21" s="152">
        <f>Finansējums!J37+Finansējums!J51</f>
        <v>0</v>
      </c>
      <c r="D21" s="152">
        <f>Finansējums!K37+Finansējums!K51</f>
        <v>0</v>
      </c>
      <c r="E21" s="152">
        <f>Finansējums!L37+Finansējums!L51</f>
        <v>0</v>
      </c>
      <c r="F21" s="152">
        <f>Finansējums!M37+Finansējums!M51</f>
        <v>0</v>
      </c>
      <c r="G21" s="152">
        <f>Finansējums!N37+Finansējums!N51</f>
        <v>0</v>
      </c>
      <c r="H21" s="152">
        <f>Finansējums!O37+Finansējums!O51</f>
        <v>0</v>
      </c>
      <c r="I21" s="152">
        <f>Finansējums!P37+Finansējums!P51</f>
        <v>0</v>
      </c>
      <c r="J21" s="152">
        <f>Finansējums!Q37+Finansējums!Q51</f>
        <v>0</v>
      </c>
      <c r="K21" s="152">
        <f>Finansējums!R37+Finansējums!R51</f>
        <v>0</v>
      </c>
      <c r="L21" s="152">
        <f>Finansējums!S37+Finansējums!S51</f>
        <v>0</v>
      </c>
      <c r="M21" s="152">
        <f>Finansējums!T37+Finansējums!T51</f>
        <v>0</v>
      </c>
      <c r="N21" s="152">
        <f>Finansējums!U37+Finansējums!U51</f>
        <v>0</v>
      </c>
      <c r="O21" s="152">
        <f>Finansējums!V37+Finansējums!V51</f>
        <v>-55195.526124000011</v>
      </c>
      <c r="P21" s="152">
        <f>Finansējums!W37+Finansējums!W51</f>
        <v>-55195.526124000011</v>
      </c>
      <c r="Q21" s="152">
        <f>Finansējums!X37+Finansējums!X51</f>
        <v>-55195.526124000011</v>
      </c>
      <c r="R21" s="152">
        <f>Finansējums!Y37+Finansējums!Y51</f>
        <v>-55195.526124000011</v>
      </c>
      <c r="S21" s="152">
        <f>Finansējums!Z37+Finansējums!Z51</f>
        <v>-55195.526124000011</v>
      </c>
      <c r="T21" s="152">
        <f>Finansējums!AA37+Finansējums!AA51</f>
        <v>-28518.796800000004</v>
      </c>
      <c r="U21" s="152">
        <f>Finansējums!AB37+Finansējums!AB51</f>
        <v>-28518.796800000004</v>
      </c>
      <c r="V21" s="152">
        <f>Finansējums!AC37+Finansējums!AC51</f>
        <v>-28518.796800000004</v>
      </c>
      <c r="W21" s="152">
        <f>Finansējums!AD37+Finansējums!AD51</f>
        <v>-28518.7968</v>
      </c>
      <c r="X21" s="152">
        <f>Finansējums!AE37+Finansējums!AE51</f>
        <v>-28518.7968</v>
      </c>
      <c r="Y21" s="152">
        <f>Finansējums!AF37+Finansējums!AF51</f>
        <v>-28518.7968</v>
      </c>
      <c r="Z21" s="152">
        <f>Finansējums!AG37+Finansējums!AG51</f>
        <v>-28518.796799999996</v>
      </c>
      <c r="AA21" s="152">
        <f>Finansējums!AH37+Finansējums!AH51</f>
        <v>-28518.796799999996</v>
      </c>
      <c r="AB21" s="152">
        <f>Finansējums!AI37+Finansējums!AI51</f>
        <v>-28518.796799999993</v>
      </c>
      <c r="AC21" s="152">
        <f>Finansējums!AJ37+Finansējums!AJ51</f>
        <v>-28518.796799999996</v>
      </c>
      <c r="AD21" s="152">
        <f>Finansējums!AK37+Finansējums!AK51</f>
        <v>-28518.7968</v>
      </c>
      <c r="AE21" s="152">
        <f>Finansējums!AL37+Finansējums!AL51</f>
        <v>-28518.7968</v>
      </c>
      <c r="AF21" s="152">
        <f>Finansējums!AM37+Finansējums!AM51</f>
        <v>-28518.7968</v>
      </c>
      <c r="AG21" s="152">
        <f>Finansējums!AN37+Finansējums!AN51</f>
        <v>-28518.796800000004</v>
      </c>
      <c r="AH21" s="152">
        <f>Finansējums!AO37+Finansējums!AO51</f>
        <v>-28518.796800000004</v>
      </c>
      <c r="AI21" s="152">
        <f>Finansējums!AP37+Finansējums!AP51</f>
        <v>0</v>
      </c>
      <c r="AJ21" s="152">
        <f>Finansējums!AQ37+Finansējums!AQ51</f>
        <v>0</v>
      </c>
      <c r="AK21" s="152">
        <f>Finansējums!AR37+Finansējums!AR51</f>
        <v>0</v>
      </c>
      <c r="AL21" s="152">
        <f>Finansējums!AS37+Finansējums!AS51</f>
        <v>0</v>
      </c>
      <c r="AM21" s="152">
        <f>Finansējums!AT37+Finansējums!AT51</f>
        <v>0</v>
      </c>
      <c r="AN21" s="152">
        <f>Finansējums!AU37+Finansējums!AU51</f>
        <v>0</v>
      </c>
      <c r="AO21" s="152">
        <f>Finansējums!AV37+Finansējums!AV51</f>
        <v>0</v>
      </c>
      <c r="AP21" s="152">
        <f>Finansējums!AW37+Finansējums!AW51</f>
        <v>0</v>
      </c>
      <c r="AQ21" s="152">
        <f>Finansējums!AX37+Finansējums!AX51</f>
        <v>0</v>
      </c>
      <c r="AR21" s="152">
        <f>Finansējums!AY37+Finansējums!AY51</f>
        <v>0</v>
      </c>
      <c r="AS21" s="152">
        <f>Finansējums!AZ37+Finansējums!AZ51</f>
        <v>0</v>
      </c>
      <c r="AT21" s="152">
        <f>Finansējums!BA37+Finansējums!BA51</f>
        <v>0</v>
      </c>
      <c r="AU21" s="152">
        <f>Finansējums!BB37+Finansējums!BB51</f>
        <v>0</v>
      </c>
      <c r="AV21" s="152">
        <f>Finansējums!BC37+Finansējums!BC51</f>
        <v>0</v>
      </c>
      <c r="AW21" s="152">
        <f>Finansējums!BD37+Finansējums!BD51</f>
        <v>0</v>
      </c>
      <c r="AX21" s="152">
        <f>Finansējums!BE37+Finansējums!BE51</f>
        <v>0</v>
      </c>
      <c r="AY21" s="152">
        <f>Finansējums!BF37+Finansējums!BF51</f>
        <v>0</v>
      </c>
      <c r="AZ21" s="152">
        <f>Finansējums!BG37+Finansējums!BG51</f>
        <v>0</v>
      </c>
    </row>
    <row r="22" spans="1:212" s="43" customFormat="1" ht="20" customHeight="1" x14ac:dyDescent="0.25">
      <c r="B22" s="126" t="s">
        <v>282</v>
      </c>
      <c r="C22" s="152">
        <f>Finansējums!J64</f>
        <v>0</v>
      </c>
      <c r="D22" s="152">
        <f>Finansējums!K64</f>
        <v>0</v>
      </c>
      <c r="E22" s="152">
        <f>Finansējums!L64</f>
        <v>0</v>
      </c>
      <c r="F22" s="152">
        <f>Finansējums!M64</f>
        <v>0</v>
      </c>
      <c r="G22" s="152">
        <f>Finansējums!N64</f>
        <v>0</v>
      </c>
      <c r="H22" s="152">
        <f>Finansējums!O64</f>
        <v>0</v>
      </c>
      <c r="I22" s="152">
        <f>Finansējums!P64</f>
        <v>0</v>
      </c>
      <c r="J22" s="152">
        <f>Finansējums!Q64</f>
        <v>-19573.537980000001</v>
      </c>
      <c r="K22" s="152">
        <f>Finansējums!R64</f>
        <v>-19573.537980000005</v>
      </c>
      <c r="L22" s="152">
        <f>Finansējums!S64</f>
        <v>-19573.537980000005</v>
      </c>
      <c r="M22" s="152">
        <f>Finansējums!T64</f>
        <v>-19573.537980000005</v>
      </c>
      <c r="N22" s="152">
        <f>Finansējums!U64</f>
        <v>-19573.537980000005</v>
      </c>
      <c r="O22" s="152">
        <f>Finansējums!V64</f>
        <v>-19573.537980000005</v>
      </c>
      <c r="P22" s="152">
        <f>Finansējums!W64</f>
        <v>-19573.537980000005</v>
      </c>
      <c r="Q22" s="152">
        <f>Finansējums!X64</f>
        <v>-19573.537980000005</v>
      </c>
      <c r="R22" s="152">
        <f>Finansējums!Y64</f>
        <v>-19573.537980000001</v>
      </c>
      <c r="S22" s="152">
        <f>Finansējums!Z64</f>
        <v>-19573.537980000001</v>
      </c>
      <c r="T22" s="152">
        <f>Finansējums!AA64</f>
        <v>0</v>
      </c>
      <c r="U22" s="152">
        <f>Finansējums!AB64</f>
        <v>0</v>
      </c>
      <c r="V22" s="152">
        <f>Finansējums!AC64</f>
        <v>0</v>
      </c>
      <c r="W22" s="152">
        <f>Finansējums!AD64</f>
        <v>0</v>
      </c>
      <c r="X22" s="152">
        <f>Finansējums!AE64</f>
        <v>0</v>
      </c>
      <c r="Y22" s="152">
        <f>Finansējums!AF64</f>
        <v>0</v>
      </c>
      <c r="Z22" s="152">
        <f>Finansējums!AG64</f>
        <v>0</v>
      </c>
      <c r="AA22" s="152">
        <f>Finansējums!AH64</f>
        <v>0</v>
      </c>
      <c r="AB22" s="152">
        <f>Finansējums!AI64</f>
        <v>0</v>
      </c>
      <c r="AC22" s="152">
        <f>Finansējums!AJ64</f>
        <v>0</v>
      </c>
      <c r="AD22" s="152">
        <f>Finansējums!AK64</f>
        <v>0</v>
      </c>
      <c r="AE22" s="152">
        <f>Finansējums!AL64</f>
        <v>0</v>
      </c>
      <c r="AF22" s="152">
        <f>Finansējums!AM64</f>
        <v>0</v>
      </c>
      <c r="AG22" s="152">
        <f>Finansējums!AN64</f>
        <v>0</v>
      </c>
      <c r="AH22" s="152">
        <f>Finansējums!AO64</f>
        <v>0</v>
      </c>
      <c r="AI22" s="152">
        <f>Finansējums!AP64</f>
        <v>0</v>
      </c>
      <c r="AJ22" s="152">
        <f>Finansējums!AQ64</f>
        <v>0</v>
      </c>
      <c r="AK22" s="152">
        <f>Finansējums!AR64</f>
        <v>0</v>
      </c>
      <c r="AL22" s="152">
        <f>Finansējums!AS64</f>
        <v>0</v>
      </c>
      <c r="AM22" s="152">
        <f>Finansējums!AT64</f>
        <v>0</v>
      </c>
      <c r="AN22" s="152">
        <f>Finansējums!AU64</f>
        <v>0</v>
      </c>
      <c r="AO22" s="152">
        <f>Finansējums!AV64</f>
        <v>0</v>
      </c>
      <c r="AP22" s="152">
        <f>Finansējums!AW64</f>
        <v>0</v>
      </c>
      <c r="AQ22" s="152">
        <f>Finansējums!AX64</f>
        <v>0</v>
      </c>
      <c r="AR22" s="152">
        <f>Finansējums!AY64</f>
        <v>0</v>
      </c>
      <c r="AS22" s="152">
        <f>Finansējums!AZ64</f>
        <v>0</v>
      </c>
      <c r="AT22" s="152">
        <f>Finansējums!BA64</f>
        <v>0</v>
      </c>
      <c r="AU22" s="152">
        <f>Finansējums!BB64</f>
        <v>0</v>
      </c>
      <c r="AV22" s="152">
        <f>Finansējums!BC64</f>
        <v>0</v>
      </c>
      <c r="AW22" s="152">
        <f>Finansējums!BD64</f>
        <v>0</v>
      </c>
      <c r="AX22" s="152">
        <f>Finansējums!BE64</f>
        <v>0</v>
      </c>
      <c r="AY22" s="152">
        <f>Finansējums!BF64</f>
        <v>0</v>
      </c>
      <c r="AZ22" s="152">
        <f>Finansējums!BG64</f>
        <v>0</v>
      </c>
    </row>
    <row r="23" spans="1:212" s="57" customFormat="1" ht="20" customHeight="1" x14ac:dyDescent="0.25">
      <c r="A23" s="53"/>
      <c r="B23" s="154" t="s">
        <v>47</v>
      </c>
      <c r="C23" s="155">
        <f t="shared" ref="C23:AH23" si="7">SUM(C18:C22)</f>
        <v>623517.33180000004</v>
      </c>
      <c r="D23" s="155">
        <f t="shared" si="7"/>
        <v>623517.33180000004</v>
      </c>
      <c r="E23" s="155">
        <f t="shared" si="7"/>
        <v>0</v>
      </c>
      <c r="F23" s="155">
        <f t="shared" si="7"/>
        <v>0</v>
      </c>
      <c r="G23" s="155">
        <f t="shared" si="7"/>
        <v>0</v>
      </c>
      <c r="H23" s="155">
        <f t="shared" si="7"/>
        <v>0</v>
      </c>
      <c r="I23" s="155">
        <f t="shared" si="7"/>
        <v>0</v>
      </c>
      <c r="J23" s="155">
        <f t="shared" si="7"/>
        <v>-19573.537980000001</v>
      </c>
      <c r="K23" s="155">
        <f t="shared" si="7"/>
        <v>-19573.537980000005</v>
      </c>
      <c r="L23" s="155">
        <f t="shared" si="7"/>
        <v>-19573.537980000005</v>
      </c>
      <c r="M23" s="155">
        <f t="shared" si="7"/>
        <v>-19573.537980000005</v>
      </c>
      <c r="N23" s="155">
        <f t="shared" si="7"/>
        <v>-19573.537980000005</v>
      </c>
      <c r="O23" s="155">
        <f t="shared" si="7"/>
        <v>-74769.064104000019</v>
      </c>
      <c r="P23" s="155">
        <f t="shared" si="7"/>
        <v>-74769.064104000019</v>
      </c>
      <c r="Q23" s="155">
        <f t="shared" si="7"/>
        <v>-74769.064104000019</v>
      </c>
      <c r="R23" s="155">
        <f t="shared" si="7"/>
        <v>-74769.064104000019</v>
      </c>
      <c r="S23" s="155">
        <f t="shared" si="7"/>
        <v>-74769.064104000019</v>
      </c>
      <c r="T23" s="155">
        <f t="shared" si="7"/>
        <v>-28518.796800000004</v>
      </c>
      <c r="U23" s="155">
        <f t="shared" si="7"/>
        <v>-28518.796800000004</v>
      </c>
      <c r="V23" s="155">
        <f t="shared" si="7"/>
        <v>-28518.796800000004</v>
      </c>
      <c r="W23" s="155">
        <f t="shared" si="7"/>
        <v>-28518.7968</v>
      </c>
      <c r="X23" s="155">
        <f t="shared" si="7"/>
        <v>-28518.7968</v>
      </c>
      <c r="Y23" s="155">
        <f t="shared" si="7"/>
        <v>-28518.7968</v>
      </c>
      <c r="Z23" s="155">
        <f t="shared" si="7"/>
        <v>-28518.796799999996</v>
      </c>
      <c r="AA23" s="155">
        <f t="shared" si="7"/>
        <v>-28518.796799999996</v>
      </c>
      <c r="AB23" s="155">
        <f t="shared" si="7"/>
        <v>-28518.796799999993</v>
      </c>
      <c r="AC23" s="155">
        <f t="shared" si="7"/>
        <v>-28518.796799999996</v>
      </c>
      <c r="AD23" s="155">
        <f t="shared" si="7"/>
        <v>-28518.7968</v>
      </c>
      <c r="AE23" s="155">
        <f t="shared" si="7"/>
        <v>-28518.7968</v>
      </c>
      <c r="AF23" s="155">
        <f t="shared" si="7"/>
        <v>-28518.7968</v>
      </c>
      <c r="AG23" s="155">
        <f t="shared" si="7"/>
        <v>-28518.796800000004</v>
      </c>
      <c r="AH23" s="155">
        <f t="shared" si="7"/>
        <v>-28518.796800000004</v>
      </c>
      <c r="AI23" s="155">
        <f t="shared" ref="AI23:AZ23" si="8">SUM(AI18:AI22)</f>
        <v>0</v>
      </c>
      <c r="AJ23" s="155">
        <f t="shared" si="8"/>
        <v>0</v>
      </c>
      <c r="AK23" s="155">
        <f t="shared" si="8"/>
        <v>0</v>
      </c>
      <c r="AL23" s="155">
        <f t="shared" si="8"/>
        <v>0</v>
      </c>
      <c r="AM23" s="155">
        <f t="shared" si="8"/>
        <v>0</v>
      </c>
      <c r="AN23" s="155">
        <f t="shared" si="8"/>
        <v>0</v>
      </c>
      <c r="AO23" s="155">
        <f t="shared" si="8"/>
        <v>0</v>
      </c>
      <c r="AP23" s="155">
        <f t="shared" si="8"/>
        <v>0</v>
      </c>
      <c r="AQ23" s="155">
        <f t="shared" si="8"/>
        <v>0</v>
      </c>
      <c r="AR23" s="155">
        <f t="shared" si="8"/>
        <v>0</v>
      </c>
      <c r="AS23" s="155">
        <f t="shared" si="8"/>
        <v>0</v>
      </c>
      <c r="AT23" s="155">
        <f t="shared" si="8"/>
        <v>0</v>
      </c>
      <c r="AU23" s="155">
        <f t="shared" si="8"/>
        <v>0</v>
      </c>
      <c r="AV23" s="155">
        <f t="shared" si="8"/>
        <v>0</v>
      </c>
      <c r="AW23" s="155">
        <f t="shared" si="8"/>
        <v>0</v>
      </c>
      <c r="AX23" s="155">
        <f t="shared" si="8"/>
        <v>0</v>
      </c>
      <c r="AY23" s="155">
        <f t="shared" si="8"/>
        <v>0</v>
      </c>
      <c r="AZ23" s="155">
        <f t="shared" si="8"/>
        <v>0</v>
      </c>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row>
    <row r="24" spans="1:212" s="43" customFormat="1" ht="20" customHeight="1" x14ac:dyDescent="0.25">
      <c r="B24" s="153" t="s">
        <v>93</v>
      </c>
      <c r="C24" s="151">
        <f t="shared" ref="C24:AH24" si="9">C13+C16+C23</f>
        <v>-8488.1182749000145</v>
      </c>
      <c r="D24" s="151">
        <f t="shared" si="9"/>
        <v>-25464.354824700044</v>
      </c>
      <c r="E24" s="151">
        <f t="shared" si="9"/>
        <v>15693.922268399994</v>
      </c>
      <c r="F24" s="151">
        <f t="shared" si="9"/>
        <v>20459.886992399999</v>
      </c>
      <c r="G24" s="151">
        <f t="shared" si="9"/>
        <v>21394.132691519993</v>
      </c>
      <c r="H24" s="151">
        <f t="shared" si="9"/>
        <v>22347.063304622392</v>
      </c>
      <c r="I24" s="151">
        <f t="shared" si="9"/>
        <v>23319.05252998685</v>
      </c>
      <c r="J24" s="151">
        <f t="shared" si="9"/>
        <v>5079.4804745085785</v>
      </c>
      <c r="K24" s="151">
        <f t="shared" si="9"/>
        <v>6775.811893877737</v>
      </c>
      <c r="L24" s="151">
        <f t="shared" si="9"/>
        <v>8492.3684650482974</v>
      </c>
      <c r="M24" s="151">
        <f t="shared" si="9"/>
        <v>10229.554691056266</v>
      </c>
      <c r="N24" s="151">
        <f t="shared" si="9"/>
        <v>11987.783164998393</v>
      </c>
      <c r="O24" s="151">
        <f t="shared" si="9"/>
        <v>-40642.896695506664</v>
      </c>
      <c r="P24" s="151">
        <f t="shared" si="9"/>
        <v>-37271.003380600981</v>
      </c>
      <c r="Q24" s="151">
        <f t="shared" si="9"/>
        <v>-33876.779863849617</v>
      </c>
      <c r="R24" s="151">
        <f t="shared" si="9"/>
        <v>-30459.779541215583</v>
      </c>
      <c r="S24" s="151">
        <f t="shared" si="9"/>
        <v>-27019.546876581328</v>
      </c>
      <c r="T24" s="151">
        <f t="shared" si="9"/>
        <v>21951.962226383279</v>
      </c>
      <c r="U24" s="151">
        <f t="shared" si="9"/>
        <v>23954.687099454961</v>
      </c>
      <c r="V24" s="151">
        <f t="shared" si="9"/>
        <v>25982.066319716039</v>
      </c>
      <c r="W24" s="151">
        <f t="shared" si="9"/>
        <v>28034.592974110365</v>
      </c>
      <c r="X24" s="151">
        <f t="shared" si="9"/>
        <v>30112.77001132059</v>
      </c>
      <c r="Y24" s="151">
        <f t="shared" si="9"/>
        <v>32217.11043900299</v>
      </c>
      <c r="Z24" s="151">
        <f t="shared" si="9"/>
        <v>34348.13752496706</v>
      </c>
      <c r="AA24" s="151">
        <f t="shared" si="9"/>
        <v>36506.385002378389</v>
      </c>
      <c r="AB24" s="151">
        <f t="shared" si="9"/>
        <v>38692.397279065946</v>
      </c>
      <c r="AC24" s="151">
        <f t="shared" si="9"/>
        <v>40906.729651015281</v>
      </c>
      <c r="AD24" s="151">
        <f t="shared" si="9"/>
        <v>43149.948520131584</v>
      </c>
      <c r="AE24" s="151">
        <f t="shared" si="9"/>
        <v>45422.631616358209</v>
      </c>
      <c r="AF24" s="151">
        <f t="shared" si="9"/>
        <v>47725.368224237376</v>
      </c>
      <c r="AG24" s="151">
        <f t="shared" si="9"/>
        <v>50058.759414002103</v>
      </c>
      <c r="AH24" s="151">
        <f t="shared" si="9"/>
        <v>52423.418277290162</v>
      </c>
      <c r="AI24" s="151">
        <f t="shared" ref="AI24:AZ24" si="10">AI13+AI16+AI23</f>
        <v>38113.891204949272</v>
      </c>
      <c r="AJ24" s="151">
        <f t="shared" si="10"/>
        <v>38876.169029048266</v>
      </c>
      <c r="AK24" s="151">
        <f t="shared" si="10"/>
        <v>39653.692409629235</v>
      </c>
      <c r="AL24" s="151">
        <f t="shared" si="10"/>
        <v>40446.766257821815</v>
      </c>
      <c r="AM24" s="151">
        <f t="shared" si="10"/>
        <v>41255.701582978247</v>
      </c>
      <c r="AN24" s="151">
        <f t="shared" si="10"/>
        <v>42080.815614637817</v>
      </c>
      <c r="AO24" s="151">
        <f t="shared" si="10"/>
        <v>42922.431926930578</v>
      </c>
      <c r="AP24" s="151">
        <f t="shared" si="10"/>
        <v>43780.88056546919</v>
      </c>
      <c r="AQ24" s="151">
        <f t="shared" si="10"/>
        <v>44656.498176778558</v>
      </c>
      <c r="AR24" s="151">
        <f t="shared" si="10"/>
        <v>45549.628140314147</v>
      </c>
      <c r="AS24" s="151">
        <f t="shared" si="10"/>
        <v>46460.620703120425</v>
      </c>
      <c r="AT24" s="151">
        <f t="shared" si="10"/>
        <v>47389.833117182825</v>
      </c>
      <c r="AU24" s="151">
        <f t="shared" si="10"/>
        <v>48337.629779526484</v>
      </c>
      <c r="AV24" s="151">
        <f t="shared" si="10"/>
        <v>49304.382375117028</v>
      </c>
      <c r="AW24" s="151">
        <f t="shared" si="10"/>
        <v>50290.470022619353</v>
      </c>
      <c r="AX24" s="151">
        <f t="shared" si="10"/>
        <v>51296.279423071755</v>
      </c>
      <c r="AY24" s="151">
        <f t="shared" si="10"/>
        <v>52322.205011533166</v>
      </c>
      <c r="AZ24" s="151">
        <f t="shared" si="10"/>
        <v>53368.649111763836</v>
      </c>
      <c r="BA24" s="65"/>
    </row>
    <row r="25" spans="1:212" s="43" customFormat="1" ht="20" customHeight="1" x14ac:dyDescent="0.25">
      <c r="B25" s="126" t="s">
        <v>96</v>
      </c>
      <c r="C25" s="152">
        <f t="shared" ref="C25:AH25" si="11">C24-C18</f>
        <v>-39663.98486490002</v>
      </c>
      <c r="D25" s="152">
        <f t="shared" si="11"/>
        <v>-56640.221414700049</v>
      </c>
      <c r="E25" s="152">
        <f t="shared" si="11"/>
        <v>15693.922268399994</v>
      </c>
      <c r="F25" s="152">
        <f t="shared" si="11"/>
        <v>20459.886992399999</v>
      </c>
      <c r="G25" s="152">
        <f t="shared" si="11"/>
        <v>21394.132691519993</v>
      </c>
      <c r="H25" s="152">
        <f t="shared" si="11"/>
        <v>22347.063304622392</v>
      </c>
      <c r="I25" s="152">
        <f t="shared" si="11"/>
        <v>23319.05252998685</v>
      </c>
      <c r="J25" s="152">
        <f t="shared" si="11"/>
        <v>5079.4804745085785</v>
      </c>
      <c r="K25" s="152">
        <f t="shared" si="11"/>
        <v>6775.811893877737</v>
      </c>
      <c r="L25" s="152">
        <f t="shared" si="11"/>
        <v>8492.3684650482974</v>
      </c>
      <c r="M25" s="152">
        <f t="shared" si="11"/>
        <v>10229.554691056266</v>
      </c>
      <c r="N25" s="152">
        <f t="shared" si="11"/>
        <v>11987.783164998393</v>
      </c>
      <c r="O25" s="152">
        <f t="shared" si="11"/>
        <v>-40642.896695506664</v>
      </c>
      <c r="P25" s="152">
        <f t="shared" si="11"/>
        <v>-37271.003380600981</v>
      </c>
      <c r="Q25" s="152">
        <f t="shared" si="11"/>
        <v>-33876.779863849617</v>
      </c>
      <c r="R25" s="152">
        <f>R24-R18</f>
        <v>-30459.779541215583</v>
      </c>
      <c r="S25" s="152">
        <f t="shared" si="11"/>
        <v>-27019.546876581328</v>
      </c>
      <c r="T25" s="152">
        <f t="shared" si="11"/>
        <v>21951.962226383279</v>
      </c>
      <c r="U25" s="152">
        <f t="shared" si="11"/>
        <v>23954.687099454961</v>
      </c>
      <c r="V25" s="152">
        <f t="shared" si="11"/>
        <v>25982.066319716039</v>
      </c>
      <c r="W25" s="152">
        <f t="shared" si="11"/>
        <v>28034.592974110365</v>
      </c>
      <c r="X25" s="152">
        <f t="shared" si="11"/>
        <v>30112.77001132059</v>
      </c>
      <c r="Y25" s="152">
        <f t="shared" si="11"/>
        <v>32217.11043900299</v>
      </c>
      <c r="Z25" s="152">
        <f t="shared" si="11"/>
        <v>34348.13752496706</v>
      </c>
      <c r="AA25" s="152">
        <f t="shared" si="11"/>
        <v>36506.385002378389</v>
      </c>
      <c r="AB25" s="152">
        <f t="shared" si="11"/>
        <v>38692.397279065946</v>
      </c>
      <c r="AC25" s="152">
        <f t="shared" si="11"/>
        <v>40906.729651015281</v>
      </c>
      <c r="AD25" s="152">
        <f t="shared" si="11"/>
        <v>43149.948520131584</v>
      </c>
      <c r="AE25" s="152">
        <f t="shared" si="11"/>
        <v>45422.631616358209</v>
      </c>
      <c r="AF25" s="152">
        <f t="shared" si="11"/>
        <v>47725.368224237376</v>
      </c>
      <c r="AG25" s="152">
        <f t="shared" si="11"/>
        <v>50058.759414002103</v>
      </c>
      <c r="AH25" s="152">
        <f t="shared" si="11"/>
        <v>52423.418277290162</v>
      </c>
      <c r="AI25" s="152">
        <f t="shared" ref="AI25:AZ25" si="12">AI24-AI18</f>
        <v>38113.891204949272</v>
      </c>
      <c r="AJ25" s="152">
        <f t="shared" si="12"/>
        <v>38876.169029048266</v>
      </c>
      <c r="AK25" s="152">
        <f t="shared" si="12"/>
        <v>39653.692409629235</v>
      </c>
      <c r="AL25" s="152">
        <f t="shared" si="12"/>
        <v>40446.766257821815</v>
      </c>
      <c r="AM25" s="152">
        <f t="shared" si="12"/>
        <v>41255.701582978247</v>
      </c>
      <c r="AN25" s="152">
        <f t="shared" si="12"/>
        <v>42080.815614637817</v>
      </c>
      <c r="AO25" s="152">
        <f t="shared" si="12"/>
        <v>42922.431926930578</v>
      </c>
      <c r="AP25" s="152">
        <f t="shared" si="12"/>
        <v>43780.88056546919</v>
      </c>
      <c r="AQ25" s="152">
        <f t="shared" si="12"/>
        <v>44656.498176778558</v>
      </c>
      <c r="AR25" s="152">
        <f t="shared" si="12"/>
        <v>45549.628140314147</v>
      </c>
      <c r="AS25" s="152">
        <f t="shared" si="12"/>
        <v>46460.620703120425</v>
      </c>
      <c r="AT25" s="152">
        <f t="shared" si="12"/>
        <v>47389.833117182825</v>
      </c>
      <c r="AU25" s="152">
        <f t="shared" si="12"/>
        <v>48337.629779526484</v>
      </c>
      <c r="AV25" s="152">
        <f t="shared" si="12"/>
        <v>49304.382375117028</v>
      </c>
      <c r="AW25" s="152">
        <f t="shared" si="12"/>
        <v>50290.470022619353</v>
      </c>
      <c r="AX25" s="152">
        <f t="shared" si="12"/>
        <v>51296.279423071755</v>
      </c>
      <c r="AY25" s="152">
        <f t="shared" si="12"/>
        <v>52322.205011533166</v>
      </c>
      <c r="AZ25" s="152">
        <f t="shared" si="12"/>
        <v>53368.649111763836</v>
      </c>
    </row>
    <row r="26" spans="1:212" s="43" customFormat="1" ht="20" customHeight="1" x14ac:dyDescent="0.25">
      <c r="B26" s="126" t="s">
        <v>121</v>
      </c>
      <c r="C26" s="152">
        <f>IF(C25&gt;0,-Pieņēmumi!$D$9*'Naudas plūsma'!C25,0)</f>
        <v>0</v>
      </c>
      <c r="D26" s="152">
        <f>IF(D25&gt;0,-Pieņēmumi!$D$9*'Naudas plūsma'!D25,0)</f>
        <v>0</v>
      </c>
      <c r="E26" s="152">
        <f>IF(E25&gt;0,-Pieņēmumi!$D$9*'Naudas plūsma'!E25,0)</f>
        <v>-3138.7844536799989</v>
      </c>
      <c r="F26" s="152">
        <f>IF(F25&gt;0,-Pieņēmumi!$D$9*'Naudas plūsma'!F25,0)</f>
        <v>-4091.9773984799999</v>
      </c>
      <c r="G26" s="152">
        <f>IF(G25&gt;0,-Pieņēmumi!$D$9*'Naudas plūsma'!G25,0)</f>
        <v>-4278.8265383039989</v>
      </c>
      <c r="H26" s="152">
        <f>IF(H25&gt;0,-Pieņēmumi!$D$9*'Naudas plūsma'!H25,0)</f>
        <v>-4469.4126609244786</v>
      </c>
      <c r="I26" s="152">
        <f>IF(I25&gt;0,-Pieņēmumi!$D$9*'Naudas plūsma'!I25,0)</f>
        <v>-4663.8105059973705</v>
      </c>
      <c r="J26" s="152">
        <f>IF(J25&gt;0,-Pieņēmumi!$D$9*'Naudas plūsma'!J25,0)</f>
        <v>-1015.8960949017157</v>
      </c>
      <c r="K26" s="152">
        <f>IF(K25&gt;0,-Pieņēmumi!$D$9*'Naudas plūsma'!K25,0)</f>
        <v>-1355.1623787755475</v>
      </c>
      <c r="L26" s="152">
        <f>IF(L25&gt;0,-Pieņēmumi!$D$9*'Naudas plūsma'!L25,0)</f>
        <v>-1698.4736930096597</v>
      </c>
      <c r="M26" s="152">
        <f>IF(M25&gt;0,-Pieņēmumi!$D$9*'Naudas plūsma'!M25,0)</f>
        <v>-2045.9109382112533</v>
      </c>
      <c r="N26" s="152">
        <f>IF(N25&gt;0,-Pieņēmumi!$D$9*'Naudas plūsma'!N25,0)</f>
        <v>-2397.5566329996786</v>
      </c>
      <c r="O26" s="152">
        <f>IF(O25&gt;0,-Pieņēmumi!$D$9*'Naudas plūsma'!O25,0)</f>
        <v>0</v>
      </c>
      <c r="P26" s="152">
        <f>IF(P25&gt;0,-Pieņēmumi!$D$9*'Naudas plūsma'!P25,0)</f>
        <v>0</v>
      </c>
      <c r="Q26" s="152">
        <f>IF(Q25&gt;0,-Pieņēmumi!$D$9*'Naudas plūsma'!Q25,0)</f>
        <v>0</v>
      </c>
      <c r="R26" s="152">
        <f>IF(R25&gt;0,-Pieņēmumi!$D$9*'Naudas plūsma'!R25,0)</f>
        <v>0</v>
      </c>
      <c r="S26" s="152">
        <f>IF(S25&gt;0,-Pieņēmumi!$D$9*'Naudas plūsma'!S25,0)</f>
        <v>0</v>
      </c>
      <c r="T26" s="152">
        <f>IF(T25&gt;0,-Pieņēmumi!$D$9*'Naudas plūsma'!T25,0)</f>
        <v>-4390.392445276656</v>
      </c>
      <c r="U26" s="152">
        <f>IF(U25&gt;0,-Pieņēmumi!$D$9*'Naudas plūsma'!U25,0)</f>
        <v>-4790.9374198909927</v>
      </c>
      <c r="V26" s="152">
        <f>IF(V25&gt;0,-Pieņēmumi!$D$9*'Naudas plūsma'!V25,0)</f>
        <v>-5196.4132639432082</v>
      </c>
      <c r="W26" s="152">
        <f>IF(W25&gt;0,-Pieņēmumi!$D$9*'Naudas plūsma'!W25,0)</f>
        <v>-5606.9185948220729</v>
      </c>
      <c r="X26" s="152">
        <f>IF(X25&gt;0,-Pieņēmumi!$D$9*'Naudas plūsma'!X25,0)</f>
        <v>-6022.554002264118</v>
      </c>
      <c r="Y26" s="152">
        <f>IF(Y25&gt;0,-Pieņēmumi!$D$9*'Naudas plūsma'!Y25,0)</f>
        <v>-6443.4220878005981</v>
      </c>
      <c r="Z26" s="152">
        <f>IF(Z25&gt;0,-Pieņēmumi!$D$9*'Naudas plūsma'!Z25,0)</f>
        <v>-6869.627504993412</v>
      </c>
      <c r="AA26" s="152">
        <f>IF(AA25&gt;0,-Pieņēmumi!$D$9*'Naudas plūsma'!AA25,0)</f>
        <v>-7301.2770004756785</v>
      </c>
      <c r="AB26" s="152">
        <f>IF(AB25&gt;0,-Pieņēmumi!$D$9*'Naudas plūsma'!AB25,0)</f>
        <v>-7738.4794558131898</v>
      </c>
      <c r="AC26" s="152">
        <f>IF(AC25&gt;0,-Pieņēmumi!$D$9*'Naudas plūsma'!AC25,0)</f>
        <v>-8181.3459302030569</v>
      </c>
      <c r="AD26" s="152">
        <f>IF(AD25&gt;0,-Pieņēmumi!$D$9*'Naudas plūsma'!AD25,0)</f>
        <v>-8629.9897040263168</v>
      </c>
      <c r="AE26" s="152">
        <f>IF(AE25&gt;0,-Pieņēmumi!$D$9*'Naudas plūsma'!AE25,0)</f>
        <v>-9084.5263232716425</v>
      </c>
      <c r="AF26" s="152">
        <f>IF(AF25&gt;0,-Pieņēmumi!$D$9*'Naudas plūsma'!AF25,0)</f>
        <v>-9545.0736448474763</v>
      </c>
      <c r="AG26" s="152">
        <f>IF(AG25&gt;0,-Pieņēmumi!$D$9*'Naudas plūsma'!AG25,0)</f>
        <v>-10011.751882800421</v>
      </c>
      <c r="AH26" s="152">
        <f>IF(AH25&gt;0,-Pieņēmumi!$D$9*'Naudas plūsma'!AH25,0)</f>
        <v>-10484.683655458033</v>
      </c>
      <c r="AI26" s="152">
        <f>IF(AI25&gt;0,-Pieņēmumi!$D$9*'Naudas plūsma'!AI25,0)</f>
        <v>-7622.7782409898546</v>
      </c>
      <c r="AJ26" s="152">
        <f>IF(AJ25&gt;0,-Pieņēmumi!$D$9*'Naudas plūsma'!AJ25,0)</f>
        <v>-7775.2338058096539</v>
      </c>
      <c r="AK26" s="152">
        <f>IF(AK25&gt;0,-Pieņēmumi!$D$9*'Naudas plūsma'!AK25,0)</f>
        <v>-7930.7384819258477</v>
      </c>
      <c r="AL26" s="152">
        <f>IF(AL25&gt;0,-Pieņēmumi!$D$9*'Naudas plūsma'!AL25,0)</f>
        <v>-8089.3532515643637</v>
      </c>
      <c r="AM26" s="152">
        <f>IF(AM25&gt;0,-Pieņēmumi!$D$9*'Naudas plūsma'!AM25,0)</f>
        <v>-8251.140316595649</v>
      </c>
      <c r="AN26" s="152">
        <f>IF(AN25&gt;0,-Pieņēmumi!$D$9*'Naudas plūsma'!AN25,0)</f>
        <v>-8416.1631229275645</v>
      </c>
      <c r="AO26" s="152">
        <f>IF(AO25&gt;0,-Pieņēmumi!$D$9*'Naudas plūsma'!AO25,0)</f>
        <v>-8584.4863853861152</v>
      </c>
      <c r="AP26" s="152">
        <f>IF(AP25&gt;0,-Pieņēmumi!$D$9*'Naudas plūsma'!AP25,0)</f>
        <v>-8756.1761130938376</v>
      </c>
      <c r="AQ26" s="152">
        <f>IF(AQ25&gt;0,-Pieņēmumi!$D$9*'Naudas plūsma'!AQ25,0)</f>
        <v>-8931.2996353557119</v>
      </c>
      <c r="AR26" s="152">
        <f>IF(AR25&gt;0,-Pieņēmumi!$D$9*'Naudas plūsma'!AR25,0)</f>
        <v>-9109.9256280628306</v>
      </c>
      <c r="AS26" s="152">
        <f>IF(AS25&gt;0,-Pieņēmumi!$D$9*'Naudas plūsma'!AS25,0)</f>
        <v>-9292.1241406240861</v>
      </c>
      <c r="AT26" s="152">
        <f>IF(AT25&gt;0,-Pieņēmumi!$D$9*'Naudas plūsma'!AT25,0)</f>
        <v>-9477.966623436565</v>
      </c>
      <c r="AU26" s="152">
        <f>IF(AU25&gt;0,-Pieņēmumi!$D$9*'Naudas plūsma'!AU25,0)</f>
        <v>-9667.5259559052975</v>
      </c>
      <c r="AV26" s="152">
        <f>IF(AV25&gt;0,-Pieņēmumi!$D$9*'Naudas plūsma'!AV25,0)</f>
        <v>-9860.8764750234059</v>
      </c>
      <c r="AW26" s="152">
        <f>IF(AW25&gt;0,-Pieņēmumi!$D$9*'Naudas plūsma'!AW25,0)</f>
        <v>-10058.094004523871</v>
      </c>
      <c r="AX26" s="152">
        <f>IF(AX25&gt;0,-Pieņēmumi!$D$9*'Naudas plūsma'!AX25,0)</f>
        <v>-10259.255884614351</v>
      </c>
      <c r="AY26" s="152">
        <f>IF(AY25&gt;0,-Pieņēmumi!$D$9*'Naudas plūsma'!AY25,0)</f>
        <v>-10464.441002306634</v>
      </c>
      <c r="AZ26" s="152">
        <f>IF(AZ25&gt;0,-Pieņēmumi!$D$9*'Naudas plūsma'!AZ25,0)</f>
        <v>-10673.729822352769</v>
      </c>
    </row>
    <row r="27" spans="1:212" s="78" customFormat="1" ht="20" customHeight="1" x14ac:dyDescent="0.3">
      <c r="B27" s="157" t="s">
        <v>92</v>
      </c>
      <c r="C27" s="158">
        <f>C25+C26</f>
        <v>-39663.98486490002</v>
      </c>
      <c r="D27" s="158">
        <f t="shared" ref="D27:AZ27" si="13">D25+D26</f>
        <v>-56640.221414700049</v>
      </c>
      <c r="E27" s="158">
        <f t="shared" si="13"/>
        <v>12555.137814719996</v>
      </c>
      <c r="F27" s="158">
        <f t="shared" si="13"/>
        <v>16367.90959392</v>
      </c>
      <c r="G27" s="158">
        <f t="shared" si="13"/>
        <v>17115.306153215995</v>
      </c>
      <c r="H27" s="158">
        <f t="shared" si="13"/>
        <v>17877.650643697914</v>
      </c>
      <c r="I27" s="158">
        <f t="shared" si="13"/>
        <v>18655.242023989478</v>
      </c>
      <c r="J27" s="158">
        <f t="shared" si="13"/>
        <v>4063.584379606863</v>
      </c>
      <c r="K27" s="158">
        <f t="shared" si="13"/>
        <v>5420.64951510219</v>
      </c>
      <c r="L27" s="158">
        <f t="shared" si="13"/>
        <v>6793.8947720386377</v>
      </c>
      <c r="M27" s="158">
        <f t="shared" si="13"/>
        <v>8183.6437528450133</v>
      </c>
      <c r="N27" s="158">
        <f t="shared" si="13"/>
        <v>9590.2265319987146</v>
      </c>
      <c r="O27" s="158">
        <f t="shared" si="13"/>
        <v>-40642.896695506664</v>
      </c>
      <c r="P27" s="158">
        <f t="shared" si="13"/>
        <v>-37271.003380600981</v>
      </c>
      <c r="Q27" s="158">
        <f t="shared" si="13"/>
        <v>-33876.779863849617</v>
      </c>
      <c r="R27" s="158">
        <f t="shared" si="13"/>
        <v>-30459.779541215583</v>
      </c>
      <c r="S27" s="158">
        <f t="shared" si="13"/>
        <v>-27019.546876581328</v>
      </c>
      <c r="T27" s="158">
        <f t="shared" si="13"/>
        <v>17561.569781106624</v>
      </c>
      <c r="U27" s="158">
        <f t="shared" si="13"/>
        <v>19163.749679563967</v>
      </c>
      <c r="V27" s="158">
        <f t="shared" si="13"/>
        <v>20785.653055772833</v>
      </c>
      <c r="W27" s="158">
        <f t="shared" si="13"/>
        <v>22427.674379288292</v>
      </c>
      <c r="X27" s="158">
        <f t="shared" si="13"/>
        <v>24090.216009056472</v>
      </c>
      <c r="Y27" s="158">
        <f t="shared" si="13"/>
        <v>25773.688351202392</v>
      </c>
      <c r="Z27" s="158">
        <f t="shared" si="13"/>
        <v>27478.510019973648</v>
      </c>
      <c r="AA27" s="158">
        <f t="shared" si="13"/>
        <v>29205.10800190271</v>
      </c>
      <c r="AB27" s="158">
        <f t="shared" si="13"/>
        <v>30953.917823252756</v>
      </c>
      <c r="AC27" s="158">
        <f t="shared" si="13"/>
        <v>32725.383720812224</v>
      </c>
      <c r="AD27" s="158">
        <f t="shared" si="13"/>
        <v>34519.958816105267</v>
      </c>
      <c r="AE27" s="158">
        <f t="shared" si="13"/>
        <v>36338.10529308657</v>
      </c>
      <c r="AF27" s="158">
        <f t="shared" si="13"/>
        <v>38180.294579389898</v>
      </c>
      <c r="AG27" s="158">
        <f t="shared" si="13"/>
        <v>40047.007531201685</v>
      </c>
      <c r="AH27" s="158">
        <f t="shared" si="13"/>
        <v>41938.734621832133</v>
      </c>
      <c r="AI27" s="158">
        <f t="shared" si="13"/>
        <v>30491.112963959418</v>
      </c>
      <c r="AJ27" s="158">
        <f t="shared" si="13"/>
        <v>31100.935223238612</v>
      </c>
      <c r="AK27" s="158">
        <f t="shared" si="13"/>
        <v>31722.953927703387</v>
      </c>
      <c r="AL27" s="158">
        <f t="shared" si="13"/>
        <v>32357.413006257451</v>
      </c>
      <c r="AM27" s="158">
        <f t="shared" si="13"/>
        <v>33004.561266382596</v>
      </c>
      <c r="AN27" s="158">
        <f t="shared" si="13"/>
        <v>33664.652491710251</v>
      </c>
      <c r="AO27" s="158">
        <f t="shared" si="13"/>
        <v>34337.945541544461</v>
      </c>
      <c r="AP27" s="158">
        <f t="shared" si="13"/>
        <v>35024.70445237535</v>
      </c>
      <c r="AQ27" s="158">
        <f t="shared" si="13"/>
        <v>35725.198541422847</v>
      </c>
      <c r="AR27" s="158">
        <f t="shared" si="13"/>
        <v>36439.702512251315</v>
      </c>
      <c r="AS27" s="158">
        <f t="shared" si="13"/>
        <v>37168.496562496337</v>
      </c>
      <c r="AT27" s="158">
        <f t="shared" si="13"/>
        <v>37911.86649374626</v>
      </c>
      <c r="AU27" s="158">
        <f t="shared" si="13"/>
        <v>38670.10382362119</v>
      </c>
      <c r="AV27" s="158">
        <f t="shared" si="13"/>
        <v>39443.505900093623</v>
      </c>
      <c r="AW27" s="158">
        <f t="shared" si="13"/>
        <v>40232.376018095485</v>
      </c>
      <c r="AX27" s="158">
        <f t="shared" si="13"/>
        <v>41037.023538457404</v>
      </c>
      <c r="AY27" s="158">
        <f t="shared" si="13"/>
        <v>41857.764009226536</v>
      </c>
      <c r="AZ27" s="158">
        <f t="shared" si="13"/>
        <v>42694.919289411067</v>
      </c>
    </row>
    <row r="28" spans="1:212" s="77" customFormat="1" ht="20" customHeight="1" x14ac:dyDescent="0.25">
      <c r="B28" s="126" t="s">
        <v>97</v>
      </c>
      <c r="C28" s="152">
        <f>C27</f>
        <v>-39663.98486490002</v>
      </c>
      <c r="D28" s="152">
        <f>D27/(1+WACC!$E$10^(D3-1))+C28</f>
        <v>-91922.927474784141</v>
      </c>
      <c r="E28" s="152">
        <f>E27/(1+WACC!$E$10^(E3-1))+D28</f>
        <v>-79455.4211392664</v>
      </c>
      <c r="F28" s="152">
        <f>F27/(1+WACC!$E$10^(F3-1))+E28</f>
        <v>-63097.151127076984</v>
      </c>
      <c r="G28" s="152">
        <f>G27/(1+WACC!$E$10^(G3-1))+F28</f>
        <v>-45982.690494682232</v>
      </c>
      <c r="H28" s="152">
        <f>H27/(1+WACC!$E$10^(H3-1))+G28</f>
        <v>-28105.113898417738</v>
      </c>
      <c r="I28" s="152">
        <f>I27/(1+WACC!$E$10^(I3-1))+H28</f>
        <v>-9449.878352449563</v>
      </c>
      <c r="J28" s="152">
        <f>J27/(1+WACC!$E$10^(J3-1))+I28</f>
        <v>-5386.2940911444512</v>
      </c>
      <c r="K28" s="152">
        <f>K27/(1+WACC!$E$10^(K3-1))+J28</f>
        <v>34.355410727323033</v>
      </c>
      <c r="L28" s="152">
        <f>L27/(1+WACC!$E$10^(L3-1))+K28</f>
        <v>6828.2501813757481</v>
      </c>
      <c r="M28" s="152">
        <f>M27/(1+WACC!$E$10^(M3-1))+L28</f>
        <v>15011.893934080368</v>
      </c>
      <c r="N28" s="152">
        <f>N27/(1+WACC!$E$10^(N3-1))+M28</f>
        <v>24602.120466065287</v>
      </c>
      <c r="O28" s="152">
        <f>O27/(1+WACC!$E$10^(O3-1))+N28</f>
        <v>-16040.77622943648</v>
      </c>
      <c r="P28" s="152">
        <f>P27/(1+WACC!$E$10^(P3-1))+O28</f>
        <v>-53311.779610037083</v>
      </c>
      <c r="Q28" s="152">
        <f>Q27/(1+WACC!$E$10^(Q3-1))+P28</f>
        <v>-87188.559473886678</v>
      </c>
      <c r="R28" s="152">
        <f>R27/(1+WACC!$E$10^(R3-1))+Q28</f>
        <v>-117648.33901510226</v>
      </c>
      <c r="S28" s="152">
        <f>S27/(1+WACC!$E$10^(S3-1))+R28</f>
        <v>-144667.88589168357</v>
      </c>
      <c r="T28" s="152">
        <f>T27/(1+WACC!$E$10^(T3-1))+S28</f>
        <v>-127106.31611057695</v>
      </c>
      <c r="U28" s="152">
        <f>U27/(1+WACC!$E$10^(U3-1))+T28</f>
        <v>-107942.56643101299</v>
      </c>
      <c r="V28" s="152">
        <f>V27/(1+WACC!$E$10^(V3-1))+U28</f>
        <v>-87156.913375240169</v>
      </c>
      <c r="W28" s="152">
        <f>W27/(1+WACC!$E$10^(W3-1))+V28</f>
        <v>-64729.238995951877</v>
      </c>
      <c r="X28" s="152">
        <f>X27/(1+WACC!$E$10^(X3-1))+W28</f>
        <v>-40639.022986895405</v>
      </c>
      <c r="Y28" s="152">
        <f>Y27/(1+WACC!$E$10^(Y3-1))+X28</f>
        <v>-14865.334635693012</v>
      </c>
      <c r="Z28" s="152">
        <f>Z27/(1+WACC!$E$10^(Z3-1))+Y28</f>
        <v>12613.175384280636</v>
      </c>
      <c r="AA28" s="152">
        <f>AA27/(1+WACC!$E$10^(AA3-1))+Z28</f>
        <v>41818.28338618335</v>
      </c>
      <c r="AB28" s="152">
        <f>AB27/(1+WACC!$E$10^(AB3-1))+AA28</f>
        <v>72772.201209436113</v>
      </c>
      <c r="AC28" s="152">
        <f>AC27/(1+WACC!$E$10^(AC3-1))+AB28</f>
        <v>105497.58493024834</v>
      </c>
      <c r="AD28" s="152">
        <f>AD27/(1+WACC!$E$10^(AD3-1))+AC28</f>
        <v>140017.54374635359</v>
      </c>
      <c r="AE28" s="152">
        <f>AE27/(1+WACC!$E$10^(AE3-1))+AD28</f>
        <v>176355.64903944015</v>
      </c>
      <c r="AF28" s="152">
        <f>AF27/(1+WACC!$E$10^(AF3-1))+AE28</f>
        <v>214535.94361883006</v>
      </c>
      <c r="AG28" s="152">
        <f>AG27/(1+WACC!$E$10^(AG3-1))+AF28</f>
        <v>254582.95115003176</v>
      </c>
      <c r="AH28" s="152">
        <f>AH27/(1+WACC!$E$10^(AH3-1))+AG28</f>
        <v>296521.68577186391</v>
      </c>
      <c r="AI28" s="152">
        <f>AI27/(1+WACC!$E$10^(AI3-1))+AH28</f>
        <v>327012.79873582331</v>
      </c>
      <c r="AJ28" s="152">
        <f>AJ27/(1+WACC!$E$10^(AJ3-1))+AI28</f>
        <v>358113.73395906191</v>
      </c>
      <c r="AK28" s="152">
        <f>AK27/(1+WACC!$E$10^(AK3-1))+AJ28</f>
        <v>389836.68788676528</v>
      </c>
      <c r="AL28" s="152">
        <f>AL27/(1+WACC!$E$10^(AL3-1))+AK28</f>
        <v>422194.10089302273</v>
      </c>
      <c r="AM28" s="152">
        <f>AM27/(1+WACC!$E$10^(AM3-1))+AL28</f>
        <v>455198.6621594053</v>
      </c>
      <c r="AN28" s="152">
        <f>AN27/(1+WACC!$E$10^(AN3-1))+AM28</f>
        <v>488863.31465111556</v>
      </c>
      <c r="AO28" s="152">
        <f>AO27/(1+WACC!$E$10^(AO3-1))+AN28</f>
        <v>523201.26019266003</v>
      </c>
      <c r="AP28" s="152">
        <f>AP27/(1+WACC!$E$10^(AP3-1))+AO28</f>
        <v>558225.96464503533</v>
      </c>
      <c r="AQ28" s="152">
        <f>AQ27/(1+WACC!$E$10^(AQ3-1))+AP28</f>
        <v>593951.16318645817</v>
      </c>
      <c r="AR28" s="152">
        <f>AR27/(1+WACC!$E$10^(AR3-1))+AQ28</f>
        <v>630390.8656987095</v>
      </c>
      <c r="AS28" s="152">
        <f>AS27/(1+WACC!$E$10^(AS3-1))+AR28</f>
        <v>667559.3622612058</v>
      </c>
      <c r="AT28" s="152">
        <f>AT27/(1+WACC!$E$10^(AT3-1))+AS28</f>
        <v>705471.22875495208</v>
      </c>
      <c r="AU28" s="152">
        <f>AU27/(1+WACC!$E$10^(AU3-1))+AT28</f>
        <v>744141.33257857326</v>
      </c>
      <c r="AV28" s="152">
        <f>AV27/(1+WACC!$E$10^(AV3-1))+AU28</f>
        <v>783584.83847866685</v>
      </c>
      <c r="AW28" s="152">
        <f>AW27/(1+WACC!$E$10^(AW3-1))+AV28</f>
        <v>823817.21449676238</v>
      </c>
      <c r="AX28" s="152">
        <f>AX27/(1+WACC!$E$10^(AX3-1))+AW28</f>
        <v>864854.23803521972</v>
      </c>
      <c r="AY28" s="152">
        <f>AY27/(1+WACC!$E$10^(AY3-1))+AX28</f>
        <v>906712.0020444463</v>
      </c>
      <c r="AZ28" s="152">
        <f>AZ27/(1+WACC!$E$10^(AZ3-1))+AY28</f>
        <v>949406.92133385735</v>
      </c>
    </row>
    <row r="29" spans="1:212" s="77" customFormat="1" ht="20" customHeight="1" x14ac:dyDescent="0.25">
      <c r="B29" s="43"/>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row>
    <row r="30" spans="1:212" s="77" customFormat="1" ht="20" customHeight="1" x14ac:dyDescent="0.25">
      <c r="C30" s="148"/>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row>
    <row r="31" spans="1:212" ht="20" customHeight="1" x14ac:dyDescent="0.25">
      <c r="B31" s="159" t="s">
        <v>137</v>
      </c>
      <c r="C31" s="160">
        <f>IRR(C27:AZ27)</f>
        <v>9.3357521706166846E-2</v>
      </c>
    </row>
    <row r="32" spans="1:212" ht="20" customHeight="1" x14ac:dyDescent="0.25">
      <c r="B32" s="161" t="s">
        <v>138</v>
      </c>
      <c r="C32" s="162">
        <f>WACC!E10</f>
        <v>8.3837877040919176E-2</v>
      </c>
    </row>
    <row r="33" spans="2:11" ht="20" customHeight="1" x14ac:dyDescent="0.25">
      <c r="B33" s="163" t="s">
        <v>94</v>
      </c>
      <c r="C33" s="164">
        <f>C31-C32</f>
        <v>9.5196446652476702E-3</v>
      </c>
    </row>
    <row r="34" spans="2:11" ht="20" customHeight="1" x14ac:dyDescent="0.25">
      <c r="B34" s="165" t="s">
        <v>95</v>
      </c>
      <c r="C34" s="166">
        <f>NPV(C32,C27:AZ27)</f>
        <v>14396.364190294174</v>
      </c>
    </row>
    <row r="35" spans="2:11" ht="20" customHeight="1" x14ac:dyDescent="0.25">
      <c r="B35" s="167" t="s">
        <v>136</v>
      </c>
      <c r="C35" s="168">
        <f>COUNTIF(C28:AZ28,"&lt;"&amp;0)</f>
        <v>19</v>
      </c>
      <c r="K35" s="266"/>
    </row>
    <row r="36" spans="2:11" x14ac:dyDescent="0.25">
      <c r="B36" s="35"/>
      <c r="C36" s="50"/>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BF66"/>
  <sheetViews>
    <sheetView showGridLines="0" zoomScaleNormal="100" workbookViewId="0">
      <selection activeCell="AY45" sqref="AY45"/>
    </sheetView>
  </sheetViews>
  <sheetFormatPr defaultColWidth="8.6640625" defaultRowHeight="12.5" outlineLevelRow="1" x14ac:dyDescent="0.25"/>
  <cols>
    <col min="1" max="1" width="2.58203125" style="32" customWidth="1"/>
    <col min="2" max="2" width="58.58203125" style="32" customWidth="1"/>
    <col min="3" max="4" width="10.58203125" style="32" customWidth="1"/>
    <col min="5" max="52" width="9.58203125" style="32" customWidth="1"/>
    <col min="53" max="16384" width="8.6640625" style="32"/>
  </cols>
  <sheetData>
    <row r="2" spans="2:58" ht="28.25" customHeight="1" x14ac:dyDescent="0.25">
      <c r="B2" s="328" t="str">
        <f>Pieņēmumi!D2</f>
        <v>-</v>
      </c>
    </row>
    <row r="3" spans="2:58" ht="20" customHeight="1" thickBot="1" x14ac:dyDescent="0.3">
      <c r="B3" s="248" t="s">
        <v>126</v>
      </c>
      <c r="C3" s="249" t="s">
        <v>154</v>
      </c>
      <c r="D3" s="250" t="s">
        <v>155</v>
      </c>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row>
    <row r="4" spans="2:58" s="40" customFormat="1" ht="20" customHeight="1" x14ac:dyDescent="0.3">
      <c r="B4" s="121"/>
      <c r="C4" s="171">
        <v>1</v>
      </c>
      <c r="D4" s="171">
        <v>2</v>
      </c>
      <c r="E4" s="169">
        <v>3</v>
      </c>
      <c r="F4" s="169">
        <v>4</v>
      </c>
      <c r="G4" s="169">
        <v>5</v>
      </c>
      <c r="H4" s="169">
        <v>6</v>
      </c>
      <c r="I4" s="169">
        <v>7</v>
      </c>
      <c r="J4" s="169">
        <v>8</v>
      </c>
      <c r="K4" s="169">
        <v>9</v>
      </c>
      <c r="L4" s="169">
        <v>10</v>
      </c>
      <c r="M4" s="169">
        <v>11</v>
      </c>
      <c r="N4" s="169">
        <v>12</v>
      </c>
      <c r="O4" s="169">
        <v>13</v>
      </c>
      <c r="P4" s="169">
        <v>14</v>
      </c>
      <c r="Q4" s="169">
        <v>15</v>
      </c>
      <c r="R4" s="169">
        <v>16</v>
      </c>
      <c r="S4" s="169">
        <v>17</v>
      </c>
      <c r="T4" s="169">
        <v>18</v>
      </c>
      <c r="U4" s="169">
        <v>19</v>
      </c>
      <c r="V4" s="169">
        <v>20</v>
      </c>
      <c r="W4" s="169">
        <v>21</v>
      </c>
      <c r="X4" s="169">
        <v>22</v>
      </c>
      <c r="Y4" s="169">
        <v>23</v>
      </c>
      <c r="Z4" s="169">
        <v>24</v>
      </c>
      <c r="AA4" s="169">
        <v>25</v>
      </c>
      <c r="AB4" s="169">
        <v>26</v>
      </c>
      <c r="AC4" s="169">
        <v>27</v>
      </c>
      <c r="AD4" s="169">
        <v>28</v>
      </c>
      <c r="AE4" s="169">
        <v>29</v>
      </c>
      <c r="AF4" s="169">
        <v>30</v>
      </c>
      <c r="AG4" s="169">
        <v>31</v>
      </c>
      <c r="AH4" s="169">
        <v>32</v>
      </c>
      <c r="AI4" s="169">
        <v>33</v>
      </c>
      <c r="AJ4" s="169">
        <v>34</v>
      </c>
      <c r="AK4" s="169">
        <v>35</v>
      </c>
      <c r="AL4" s="169">
        <v>36</v>
      </c>
      <c r="AM4" s="169">
        <v>37</v>
      </c>
      <c r="AN4" s="169">
        <v>38</v>
      </c>
      <c r="AO4" s="169">
        <v>39</v>
      </c>
      <c r="AP4" s="169">
        <v>40</v>
      </c>
      <c r="AQ4" s="169">
        <v>41</v>
      </c>
      <c r="AR4" s="169">
        <v>42</v>
      </c>
      <c r="AS4" s="169">
        <v>43</v>
      </c>
      <c r="AT4" s="169">
        <v>44</v>
      </c>
      <c r="AU4" s="169">
        <v>45</v>
      </c>
      <c r="AV4" s="169">
        <v>46</v>
      </c>
      <c r="AW4" s="169">
        <v>47</v>
      </c>
      <c r="AX4" s="169">
        <v>48</v>
      </c>
      <c r="AY4" s="169">
        <v>49</v>
      </c>
      <c r="AZ4" s="169">
        <v>50</v>
      </c>
      <c r="BA4" s="47"/>
      <c r="BB4" s="47"/>
      <c r="BC4" s="47"/>
      <c r="BD4" s="47"/>
      <c r="BE4" s="47"/>
      <c r="BF4" s="47"/>
    </row>
    <row r="5" spans="2:58" ht="20" customHeight="1" x14ac:dyDescent="0.25">
      <c r="B5" s="122" t="s">
        <v>92</v>
      </c>
      <c r="C5" s="170">
        <f>'Naudas plūsma'!C27</f>
        <v>-39663.98486490002</v>
      </c>
      <c r="D5" s="170">
        <f>'Naudas plūsma'!D27</f>
        <v>-56640.221414700049</v>
      </c>
      <c r="E5" s="170">
        <f>'Naudas plūsma'!E27</f>
        <v>12555.137814719996</v>
      </c>
      <c r="F5" s="170">
        <f>'Naudas plūsma'!F27</f>
        <v>16367.90959392</v>
      </c>
      <c r="G5" s="170">
        <f>'Naudas plūsma'!G27</f>
        <v>17115.306153215995</v>
      </c>
      <c r="H5" s="170">
        <f>'Naudas plūsma'!H27</f>
        <v>17877.650643697914</v>
      </c>
      <c r="I5" s="170">
        <f>'Naudas plūsma'!I27</f>
        <v>18655.242023989478</v>
      </c>
      <c r="J5" s="170">
        <f>'Naudas plūsma'!J27</f>
        <v>4063.584379606863</v>
      </c>
      <c r="K5" s="170">
        <f>'Naudas plūsma'!K27</f>
        <v>5420.64951510219</v>
      </c>
      <c r="L5" s="170">
        <f>'Naudas plūsma'!L27</f>
        <v>6793.8947720386377</v>
      </c>
      <c r="M5" s="170">
        <f>'Naudas plūsma'!M27</f>
        <v>8183.6437528450133</v>
      </c>
      <c r="N5" s="170">
        <f>'Naudas plūsma'!N27</f>
        <v>9590.2265319987146</v>
      </c>
      <c r="O5" s="170">
        <f>'Naudas plūsma'!O27</f>
        <v>-40642.896695506664</v>
      </c>
      <c r="P5" s="170">
        <f>'Naudas plūsma'!P27</f>
        <v>-37271.003380600981</v>
      </c>
      <c r="Q5" s="170">
        <f>'Naudas plūsma'!Q27</f>
        <v>-33876.779863849617</v>
      </c>
      <c r="R5" s="170">
        <f>'Naudas plūsma'!R27</f>
        <v>-30459.779541215583</v>
      </c>
      <c r="S5" s="170">
        <f>'Naudas plūsma'!S27</f>
        <v>-27019.546876581328</v>
      </c>
      <c r="T5" s="170">
        <f>'Naudas plūsma'!T27</f>
        <v>17561.569781106624</v>
      </c>
      <c r="U5" s="170">
        <f>'Naudas plūsma'!U27</f>
        <v>19163.749679563967</v>
      </c>
      <c r="V5" s="170">
        <f>'Naudas plūsma'!V27</f>
        <v>20785.653055772833</v>
      </c>
      <c r="W5" s="170">
        <f>'Naudas plūsma'!W27</f>
        <v>22427.674379288292</v>
      </c>
      <c r="X5" s="170">
        <f>'Naudas plūsma'!X27</f>
        <v>24090.216009056472</v>
      </c>
      <c r="Y5" s="170">
        <f>'Naudas plūsma'!Y27</f>
        <v>25773.688351202392</v>
      </c>
      <c r="Z5" s="170">
        <f>'Naudas plūsma'!Z27</f>
        <v>27478.510019973648</v>
      </c>
      <c r="AA5" s="170">
        <f>'Naudas plūsma'!AA27</f>
        <v>29205.10800190271</v>
      </c>
      <c r="AB5" s="170">
        <f>'Naudas plūsma'!AB27</f>
        <v>30953.917823252756</v>
      </c>
      <c r="AC5" s="170">
        <f>'Naudas plūsma'!AC27</f>
        <v>32725.383720812224</v>
      </c>
      <c r="AD5" s="170">
        <f>'Naudas plūsma'!AD27</f>
        <v>34519.958816105267</v>
      </c>
      <c r="AE5" s="170">
        <f>'Naudas plūsma'!AE27</f>
        <v>36338.10529308657</v>
      </c>
      <c r="AF5" s="170">
        <f>'Naudas plūsma'!AF27</f>
        <v>38180.294579389898</v>
      </c>
      <c r="AG5" s="170">
        <f>'Naudas plūsma'!AG27</f>
        <v>40047.007531201685</v>
      </c>
      <c r="AH5" s="170">
        <f>'Naudas plūsma'!AH27</f>
        <v>41938.734621832133</v>
      </c>
      <c r="AI5" s="170">
        <f>'Naudas plūsma'!AI27</f>
        <v>30491.112963959418</v>
      </c>
      <c r="AJ5" s="170">
        <f>'Naudas plūsma'!AJ27</f>
        <v>31100.935223238612</v>
      </c>
      <c r="AK5" s="170">
        <f>'Naudas plūsma'!AK27</f>
        <v>31722.953927703387</v>
      </c>
      <c r="AL5" s="170">
        <f>'Naudas plūsma'!AL27</f>
        <v>32357.413006257451</v>
      </c>
      <c r="AM5" s="170">
        <f>'Naudas plūsma'!AM27</f>
        <v>33004.561266382596</v>
      </c>
      <c r="AN5" s="170">
        <f>'Naudas plūsma'!AN27</f>
        <v>33664.652491710251</v>
      </c>
      <c r="AO5" s="170">
        <f>'Naudas plūsma'!AO27</f>
        <v>34337.945541544461</v>
      </c>
      <c r="AP5" s="170">
        <f>'Naudas plūsma'!AP27</f>
        <v>35024.70445237535</v>
      </c>
      <c r="AQ5" s="170">
        <f>'Naudas plūsma'!AQ27</f>
        <v>35725.198541422847</v>
      </c>
      <c r="AR5" s="170">
        <f>'Naudas plūsma'!AR27</f>
        <v>36439.702512251315</v>
      </c>
      <c r="AS5" s="170">
        <f>'Naudas plūsma'!AS27</f>
        <v>37168.496562496337</v>
      </c>
      <c r="AT5" s="170">
        <f>'Naudas plūsma'!AT27</f>
        <v>37911.86649374626</v>
      </c>
      <c r="AU5" s="170">
        <f>'Naudas plūsma'!AU27</f>
        <v>38670.10382362119</v>
      </c>
      <c r="AV5" s="170">
        <f>'Naudas plūsma'!AV27</f>
        <v>39443.505900093623</v>
      </c>
      <c r="AW5" s="170">
        <f>'Naudas plūsma'!AW27</f>
        <v>40232.376018095485</v>
      </c>
      <c r="AX5" s="170">
        <f>'Naudas plūsma'!AX27</f>
        <v>41037.023538457404</v>
      </c>
      <c r="AY5" s="170">
        <f>'Naudas plūsma'!AY27</f>
        <v>41857.764009226536</v>
      </c>
      <c r="AZ5" s="170">
        <f>'Naudas plūsma'!AZ27</f>
        <v>42694.919289411067</v>
      </c>
    </row>
    <row r="6" spans="2:58" ht="20" customHeight="1" x14ac:dyDescent="0.25">
      <c r="B6" s="252" t="s">
        <v>137</v>
      </c>
      <c r="C6" s="317">
        <f>IRR(C5:AZ5)</f>
        <v>9.3357521706166846E-2</v>
      </c>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row>
    <row r="7" spans="2:58" ht="20" customHeight="1" x14ac:dyDescent="0.25">
      <c r="B7" s="252" t="s">
        <v>138</v>
      </c>
      <c r="C7" s="317">
        <f>'Naudas plūsma'!C32</f>
        <v>8.3837877040919176E-2</v>
      </c>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row>
    <row r="8" spans="2:58" ht="20" customHeight="1" x14ac:dyDescent="0.25">
      <c r="B8" s="272" t="s">
        <v>94</v>
      </c>
      <c r="C8" s="290">
        <f>C6-C7</f>
        <v>9.5196446652476702E-3</v>
      </c>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row>
    <row r="9" spans="2:58" ht="20" customHeight="1" x14ac:dyDescent="0.25">
      <c r="B9" s="273" t="s">
        <v>53</v>
      </c>
      <c r="C9" s="274">
        <f>Pieņēmumi!D79</f>
        <v>0.3</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row>
    <row r="10" spans="2:58" ht="20" customHeight="1" x14ac:dyDescent="0.25">
      <c r="B10" s="275" t="s">
        <v>225</v>
      </c>
      <c r="C10" s="276">
        <f>Finansējums!L38*-1</f>
        <v>285187.96799999999</v>
      </c>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row>
    <row r="11" spans="2:58" ht="20" customHeight="1" x14ac:dyDescent="0.25">
      <c r="B11" s="292" t="s">
        <v>162</v>
      </c>
      <c r="C11" s="291"/>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row>
    <row r="12" spans="2:58" ht="20" customHeight="1" x14ac:dyDescent="0.25">
      <c r="B12" s="292" t="s">
        <v>156</v>
      </c>
      <c r="C12" s="291"/>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row>
    <row r="13" spans="2:58" ht="8.25" customHeight="1" x14ac:dyDescent="0.25">
      <c r="B13" s="252"/>
      <c r="C13" s="291"/>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row>
    <row r="14" spans="2:58" ht="20" customHeight="1" thickBot="1" x14ac:dyDescent="0.3">
      <c r="B14" s="248" t="s">
        <v>197</v>
      </c>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row>
    <row r="15" spans="2:58" s="40" customFormat="1" ht="20" customHeight="1" x14ac:dyDescent="0.3">
      <c r="B15" s="121"/>
      <c r="C15" s="171">
        <v>1</v>
      </c>
      <c r="D15" s="171">
        <v>2</v>
      </c>
      <c r="E15" s="171">
        <v>3</v>
      </c>
      <c r="F15" s="169">
        <v>4</v>
      </c>
      <c r="G15" s="169">
        <v>5</v>
      </c>
      <c r="H15" s="169">
        <v>6</v>
      </c>
      <c r="I15" s="169">
        <v>7</v>
      </c>
      <c r="J15" s="169">
        <v>8</v>
      </c>
      <c r="K15" s="169">
        <v>9</v>
      </c>
      <c r="L15" s="169">
        <v>10</v>
      </c>
      <c r="M15" s="169">
        <v>11</v>
      </c>
      <c r="N15" s="169">
        <v>12</v>
      </c>
      <c r="O15" s="169">
        <v>13</v>
      </c>
      <c r="P15" s="169">
        <v>14</v>
      </c>
      <c r="Q15" s="169">
        <v>15</v>
      </c>
      <c r="R15" s="169">
        <v>16</v>
      </c>
      <c r="S15" s="169">
        <v>17</v>
      </c>
      <c r="T15" s="169">
        <v>18</v>
      </c>
      <c r="U15" s="169">
        <v>19</v>
      </c>
      <c r="V15" s="169">
        <v>20</v>
      </c>
      <c r="W15" s="169">
        <v>21</v>
      </c>
      <c r="X15" s="169">
        <v>22</v>
      </c>
      <c r="Y15" s="169">
        <v>23</v>
      </c>
      <c r="Z15" s="169">
        <v>24</v>
      </c>
      <c r="AA15" s="169">
        <v>25</v>
      </c>
      <c r="AB15" s="169">
        <v>26</v>
      </c>
      <c r="AC15" s="169">
        <v>27</v>
      </c>
      <c r="AD15" s="169">
        <v>28</v>
      </c>
      <c r="AE15" s="169">
        <v>29</v>
      </c>
      <c r="AF15" s="169">
        <v>30</v>
      </c>
      <c r="AG15" s="169">
        <v>31</v>
      </c>
      <c r="AH15" s="169">
        <v>32</v>
      </c>
      <c r="AI15" s="169">
        <v>33</v>
      </c>
      <c r="AJ15" s="169">
        <v>34</v>
      </c>
      <c r="AK15" s="169">
        <v>35</v>
      </c>
      <c r="AL15" s="169">
        <v>36</v>
      </c>
      <c r="AM15" s="169">
        <v>37</v>
      </c>
      <c r="AN15" s="169">
        <v>38</v>
      </c>
      <c r="AO15" s="169">
        <v>39</v>
      </c>
      <c r="AP15" s="169">
        <v>40</v>
      </c>
      <c r="AQ15" s="169">
        <v>41</v>
      </c>
      <c r="AR15" s="169">
        <v>42</v>
      </c>
      <c r="AS15" s="169">
        <v>43</v>
      </c>
      <c r="AT15" s="169">
        <v>44</v>
      </c>
      <c r="AU15" s="169">
        <v>45</v>
      </c>
      <c r="AV15" s="169">
        <v>46</v>
      </c>
      <c r="AW15" s="169">
        <v>47</v>
      </c>
      <c r="AX15" s="169">
        <v>48</v>
      </c>
      <c r="AY15" s="169">
        <v>49</v>
      </c>
      <c r="AZ15" s="169">
        <v>50</v>
      </c>
      <c r="BA15" s="47"/>
      <c r="BB15" s="47"/>
      <c r="BC15" s="47"/>
      <c r="BD15" s="47"/>
      <c r="BE15" s="47"/>
      <c r="BF15" s="47"/>
    </row>
    <row r="16" spans="2:58" ht="20" customHeight="1" outlineLevel="1" x14ac:dyDescent="0.25">
      <c r="B16" s="298" t="s">
        <v>158</v>
      </c>
      <c r="C16" s="255">
        <v>-39663.98486490002</v>
      </c>
      <c r="D16" s="255">
        <v>-56640.221414700049</v>
      </c>
      <c r="E16" s="255">
        <v>-5885.6045698800117</v>
      </c>
      <c r="F16" s="254">
        <f>F5</f>
        <v>16367.90959392</v>
      </c>
      <c r="G16" s="254">
        <f t="shared" ref="G16:AZ16" si="0">G5+500</f>
        <v>17615.306153215995</v>
      </c>
      <c r="H16" s="254">
        <f t="shared" si="0"/>
        <v>18377.650643697914</v>
      </c>
      <c r="I16" s="254">
        <f t="shared" si="0"/>
        <v>19155.242023989478</v>
      </c>
      <c r="J16" s="254">
        <f t="shared" si="0"/>
        <v>4563.584379606863</v>
      </c>
      <c r="K16" s="254">
        <f t="shared" si="0"/>
        <v>5920.64951510219</v>
      </c>
      <c r="L16" s="254">
        <f t="shared" si="0"/>
        <v>7293.8947720386377</v>
      </c>
      <c r="M16" s="254">
        <f t="shared" si="0"/>
        <v>8683.6437528450133</v>
      </c>
      <c r="N16" s="254">
        <f t="shared" si="0"/>
        <v>10090.226531998715</v>
      </c>
      <c r="O16" s="254">
        <f t="shared" si="0"/>
        <v>-40142.896695506664</v>
      </c>
      <c r="P16" s="254">
        <f t="shared" si="0"/>
        <v>-36771.003380600981</v>
      </c>
      <c r="Q16" s="254">
        <f t="shared" si="0"/>
        <v>-33376.779863849617</v>
      </c>
      <c r="R16" s="254">
        <f t="shared" si="0"/>
        <v>-29959.779541215583</v>
      </c>
      <c r="S16" s="254">
        <f t="shared" si="0"/>
        <v>-26519.546876581328</v>
      </c>
      <c r="T16" s="254">
        <f t="shared" si="0"/>
        <v>18061.569781106624</v>
      </c>
      <c r="U16" s="254">
        <f t="shared" si="0"/>
        <v>19663.749679563967</v>
      </c>
      <c r="V16" s="254">
        <f t="shared" si="0"/>
        <v>21285.653055772833</v>
      </c>
      <c r="W16" s="254">
        <f t="shared" si="0"/>
        <v>22927.674379288292</v>
      </c>
      <c r="X16" s="254">
        <f t="shared" si="0"/>
        <v>24590.216009056472</v>
      </c>
      <c r="Y16" s="254">
        <f t="shared" si="0"/>
        <v>26273.688351202392</v>
      </c>
      <c r="Z16" s="254">
        <f t="shared" si="0"/>
        <v>27978.510019973648</v>
      </c>
      <c r="AA16" s="254">
        <f t="shared" si="0"/>
        <v>29705.10800190271</v>
      </c>
      <c r="AB16" s="254">
        <f t="shared" si="0"/>
        <v>31453.917823252756</v>
      </c>
      <c r="AC16" s="254">
        <f t="shared" si="0"/>
        <v>33225.383720812228</v>
      </c>
      <c r="AD16" s="254">
        <f t="shared" si="0"/>
        <v>35019.958816105267</v>
      </c>
      <c r="AE16" s="254">
        <f t="shared" si="0"/>
        <v>36838.10529308657</v>
      </c>
      <c r="AF16" s="254">
        <f t="shared" si="0"/>
        <v>38680.294579389898</v>
      </c>
      <c r="AG16" s="254">
        <f t="shared" si="0"/>
        <v>40547.007531201685</v>
      </c>
      <c r="AH16" s="254">
        <f t="shared" si="0"/>
        <v>42438.734621832133</v>
      </c>
      <c r="AI16" s="254">
        <f t="shared" si="0"/>
        <v>30991.112963959418</v>
      </c>
      <c r="AJ16" s="254">
        <f t="shared" si="0"/>
        <v>31600.935223238612</v>
      </c>
      <c r="AK16" s="254">
        <f t="shared" si="0"/>
        <v>32222.953927703387</v>
      </c>
      <c r="AL16" s="254">
        <f t="shared" si="0"/>
        <v>32857.413006257455</v>
      </c>
      <c r="AM16" s="254">
        <f t="shared" si="0"/>
        <v>33504.561266382596</v>
      </c>
      <c r="AN16" s="254">
        <f t="shared" si="0"/>
        <v>34164.652491710251</v>
      </c>
      <c r="AO16" s="254">
        <f t="shared" si="0"/>
        <v>34837.945541544461</v>
      </c>
      <c r="AP16" s="254">
        <f t="shared" si="0"/>
        <v>35524.70445237535</v>
      </c>
      <c r="AQ16" s="254">
        <f t="shared" si="0"/>
        <v>36225.198541422847</v>
      </c>
      <c r="AR16" s="254">
        <f t="shared" si="0"/>
        <v>36939.702512251315</v>
      </c>
      <c r="AS16" s="254">
        <f t="shared" si="0"/>
        <v>37668.496562496337</v>
      </c>
      <c r="AT16" s="254">
        <f t="shared" si="0"/>
        <v>38411.86649374626</v>
      </c>
      <c r="AU16" s="254">
        <f t="shared" si="0"/>
        <v>39170.10382362119</v>
      </c>
      <c r="AV16" s="254">
        <f t="shared" si="0"/>
        <v>39943.505900093623</v>
      </c>
      <c r="AW16" s="254">
        <f t="shared" si="0"/>
        <v>40732.376018095485</v>
      </c>
      <c r="AX16" s="254">
        <f t="shared" si="0"/>
        <v>41537.023538457404</v>
      </c>
      <c r="AY16" s="254">
        <f t="shared" si="0"/>
        <v>42357.764009226536</v>
      </c>
      <c r="AZ16" s="254">
        <f t="shared" si="0"/>
        <v>43194.919289411067</v>
      </c>
    </row>
    <row r="17" spans="2:52" ht="20" customHeight="1" outlineLevel="1" x14ac:dyDescent="0.25">
      <c r="B17" s="256" t="s">
        <v>163</v>
      </c>
      <c r="C17" s="257">
        <f t="shared" ref="C17:AH17" si="1">C16-C5</f>
        <v>0</v>
      </c>
      <c r="D17" s="257">
        <f t="shared" si="1"/>
        <v>0</v>
      </c>
      <c r="E17" s="257">
        <f t="shared" si="1"/>
        <v>-18440.742384600009</v>
      </c>
      <c r="F17" s="257">
        <f t="shared" si="1"/>
        <v>0</v>
      </c>
      <c r="G17" s="257">
        <f t="shared" si="1"/>
        <v>500</v>
      </c>
      <c r="H17" s="257">
        <f t="shared" si="1"/>
        <v>500</v>
      </c>
      <c r="I17" s="257">
        <f t="shared" si="1"/>
        <v>500</v>
      </c>
      <c r="J17" s="257">
        <f t="shared" si="1"/>
        <v>500</v>
      </c>
      <c r="K17" s="257">
        <f t="shared" si="1"/>
        <v>500</v>
      </c>
      <c r="L17" s="257">
        <f t="shared" si="1"/>
        <v>500</v>
      </c>
      <c r="M17" s="257">
        <f t="shared" si="1"/>
        <v>500</v>
      </c>
      <c r="N17" s="257">
        <f t="shared" si="1"/>
        <v>500</v>
      </c>
      <c r="O17" s="257">
        <f t="shared" si="1"/>
        <v>500</v>
      </c>
      <c r="P17" s="257">
        <f t="shared" si="1"/>
        <v>500</v>
      </c>
      <c r="Q17" s="257">
        <f t="shared" si="1"/>
        <v>500</v>
      </c>
      <c r="R17" s="257">
        <f t="shared" si="1"/>
        <v>500</v>
      </c>
      <c r="S17" s="257">
        <f t="shared" si="1"/>
        <v>500</v>
      </c>
      <c r="T17" s="257">
        <f t="shared" si="1"/>
        <v>500</v>
      </c>
      <c r="U17" s="257">
        <f t="shared" si="1"/>
        <v>500</v>
      </c>
      <c r="V17" s="257">
        <f t="shared" si="1"/>
        <v>500</v>
      </c>
      <c r="W17" s="257">
        <f t="shared" si="1"/>
        <v>500</v>
      </c>
      <c r="X17" s="257">
        <f t="shared" si="1"/>
        <v>500</v>
      </c>
      <c r="Y17" s="257">
        <f t="shared" si="1"/>
        <v>500</v>
      </c>
      <c r="Z17" s="257">
        <f t="shared" si="1"/>
        <v>500</v>
      </c>
      <c r="AA17" s="257">
        <f t="shared" si="1"/>
        <v>500</v>
      </c>
      <c r="AB17" s="257">
        <f t="shared" si="1"/>
        <v>500</v>
      </c>
      <c r="AC17" s="257">
        <f t="shared" si="1"/>
        <v>500.00000000000364</v>
      </c>
      <c r="AD17" s="257">
        <f t="shared" si="1"/>
        <v>500</v>
      </c>
      <c r="AE17" s="257">
        <f t="shared" si="1"/>
        <v>500</v>
      </c>
      <c r="AF17" s="257">
        <f t="shared" si="1"/>
        <v>500</v>
      </c>
      <c r="AG17" s="257">
        <f t="shared" si="1"/>
        <v>500</v>
      </c>
      <c r="AH17" s="257">
        <f t="shared" si="1"/>
        <v>500</v>
      </c>
      <c r="AI17" s="257">
        <f t="shared" ref="AI17:AZ17" si="2">AI16-AI5</f>
        <v>500</v>
      </c>
      <c r="AJ17" s="257">
        <f t="shared" si="2"/>
        <v>500</v>
      </c>
      <c r="AK17" s="257">
        <f t="shared" si="2"/>
        <v>500</v>
      </c>
      <c r="AL17" s="257">
        <f t="shared" si="2"/>
        <v>500.00000000000364</v>
      </c>
      <c r="AM17" s="257">
        <f t="shared" si="2"/>
        <v>500</v>
      </c>
      <c r="AN17" s="257">
        <f t="shared" si="2"/>
        <v>500</v>
      </c>
      <c r="AO17" s="257">
        <f t="shared" si="2"/>
        <v>500</v>
      </c>
      <c r="AP17" s="257">
        <f t="shared" si="2"/>
        <v>500</v>
      </c>
      <c r="AQ17" s="257">
        <f t="shared" si="2"/>
        <v>500</v>
      </c>
      <c r="AR17" s="257">
        <f t="shared" si="2"/>
        <v>500</v>
      </c>
      <c r="AS17" s="257">
        <f t="shared" si="2"/>
        <v>500</v>
      </c>
      <c r="AT17" s="257">
        <f t="shared" si="2"/>
        <v>500</v>
      </c>
      <c r="AU17" s="257">
        <f t="shared" si="2"/>
        <v>500</v>
      </c>
      <c r="AV17" s="257">
        <f t="shared" si="2"/>
        <v>500</v>
      </c>
      <c r="AW17" s="257">
        <f t="shared" si="2"/>
        <v>500</v>
      </c>
      <c r="AX17" s="257">
        <f t="shared" si="2"/>
        <v>500</v>
      </c>
      <c r="AY17" s="257">
        <f t="shared" si="2"/>
        <v>500</v>
      </c>
      <c r="AZ17" s="257">
        <f t="shared" si="2"/>
        <v>500</v>
      </c>
    </row>
    <row r="18" spans="2:52" ht="20" customHeight="1" outlineLevel="1" x14ac:dyDescent="0.25">
      <c r="B18" s="298" t="s">
        <v>159</v>
      </c>
      <c r="C18" s="255">
        <f>C16</f>
        <v>-39663.98486490002</v>
      </c>
      <c r="D18" s="255">
        <f t="shared" ref="D18:E18" si="3">D16</f>
        <v>-56640.221414700049</v>
      </c>
      <c r="E18" s="255">
        <f t="shared" si="3"/>
        <v>-5885.6045698800117</v>
      </c>
      <c r="F18" s="255">
        <v>-396.15666644000521</v>
      </c>
      <c r="G18" s="255">
        <v>1509.2577696959895</v>
      </c>
      <c r="H18" s="255">
        <v>2850.3888037299125</v>
      </c>
      <c r="I18" s="254">
        <f t="shared" ref="I18:AG18" si="4">I16</f>
        <v>19155.242023989478</v>
      </c>
      <c r="J18" s="254">
        <f t="shared" si="4"/>
        <v>4563.584379606863</v>
      </c>
      <c r="K18" s="254">
        <f t="shared" si="4"/>
        <v>5920.64951510219</v>
      </c>
      <c r="L18" s="254">
        <f t="shared" si="4"/>
        <v>7293.8947720386377</v>
      </c>
      <c r="M18" s="254">
        <f t="shared" si="4"/>
        <v>8683.6437528450133</v>
      </c>
      <c r="N18" s="254">
        <f t="shared" si="4"/>
        <v>10090.226531998715</v>
      </c>
      <c r="O18" s="254">
        <f t="shared" si="4"/>
        <v>-40142.896695506664</v>
      </c>
      <c r="P18" s="254">
        <f t="shared" si="4"/>
        <v>-36771.003380600981</v>
      </c>
      <c r="Q18" s="254">
        <f t="shared" si="4"/>
        <v>-33376.779863849617</v>
      </c>
      <c r="R18" s="254">
        <f t="shared" si="4"/>
        <v>-29959.779541215583</v>
      </c>
      <c r="S18" s="254">
        <f t="shared" si="4"/>
        <v>-26519.546876581328</v>
      </c>
      <c r="T18" s="254">
        <f t="shared" si="4"/>
        <v>18061.569781106624</v>
      </c>
      <c r="U18" s="254">
        <f t="shared" si="4"/>
        <v>19663.749679563967</v>
      </c>
      <c r="V18" s="254">
        <f t="shared" si="4"/>
        <v>21285.653055772833</v>
      </c>
      <c r="W18" s="254">
        <f t="shared" si="4"/>
        <v>22927.674379288292</v>
      </c>
      <c r="X18" s="254">
        <f t="shared" si="4"/>
        <v>24590.216009056472</v>
      </c>
      <c r="Y18" s="254">
        <f t="shared" si="4"/>
        <v>26273.688351202392</v>
      </c>
      <c r="Z18" s="254">
        <f t="shared" si="4"/>
        <v>27978.510019973648</v>
      </c>
      <c r="AA18" s="254">
        <f t="shared" si="4"/>
        <v>29705.10800190271</v>
      </c>
      <c r="AB18" s="254">
        <f t="shared" si="4"/>
        <v>31453.917823252756</v>
      </c>
      <c r="AC18" s="254">
        <f t="shared" si="4"/>
        <v>33225.383720812228</v>
      </c>
      <c r="AD18" s="254">
        <f t="shared" si="4"/>
        <v>35019.958816105267</v>
      </c>
      <c r="AE18" s="254">
        <f t="shared" si="4"/>
        <v>36838.10529308657</v>
      </c>
      <c r="AF18" s="254">
        <f t="shared" si="4"/>
        <v>38680.294579389898</v>
      </c>
      <c r="AG18" s="254">
        <f t="shared" si="4"/>
        <v>40547.007531201685</v>
      </c>
      <c r="AH18" s="254">
        <f t="shared" ref="AH18:AZ18" si="5">AH16</f>
        <v>42438.734621832133</v>
      </c>
      <c r="AI18" s="254">
        <f t="shared" si="5"/>
        <v>30991.112963959418</v>
      </c>
      <c r="AJ18" s="254">
        <f t="shared" si="5"/>
        <v>31600.935223238612</v>
      </c>
      <c r="AK18" s="254">
        <f t="shared" si="5"/>
        <v>32222.953927703387</v>
      </c>
      <c r="AL18" s="254">
        <f t="shared" si="5"/>
        <v>32857.413006257455</v>
      </c>
      <c r="AM18" s="254">
        <f t="shared" si="5"/>
        <v>33504.561266382596</v>
      </c>
      <c r="AN18" s="254">
        <f t="shared" si="5"/>
        <v>34164.652491710251</v>
      </c>
      <c r="AO18" s="254">
        <f t="shared" si="5"/>
        <v>34837.945541544461</v>
      </c>
      <c r="AP18" s="254">
        <f t="shared" si="5"/>
        <v>35524.70445237535</v>
      </c>
      <c r="AQ18" s="254">
        <f t="shared" si="5"/>
        <v>36225.198541422847</v>
      </c>
      <c r="AR18" s="254">
        <f t="shared" si="5"/>
        <v>36939.702512251315</v>
      </c>
      <c r="AS18" s="254">
        <f t="shared" si="5"/>
        <v>37668.496562496337</v>
      </c>
      <c r="AT18" s="254">
        <f t="shared" si="5"/>
        <v>38411.86649374626</v>
      </c>
      <c r="AU18" s="254">
        <f t="shared" si="5"/>
        <v>39170.10382362119</v>
      </c>
      <c r="AV18" s="254">
        <f t="shared" si="5"/>
        <v>39943.505900093623</v>
      </c>
      <c r="AW18" s="254">
        <f t="shared" si="5"/>
        <v>40732.376018095485</v>
      </c>
      <c r="AX18" s="254">
        <f t="shared" si="5"/>
        <v>41537.023538457404</v>
      </c>
      <c r="AY18" s="254">
        <f t="shared" si="5"/>
        <v>42357.764009226536</v>
      </c>
      <c r="AZ18" s="254">
        <f t="shared" si="5"/>
        <v>43194.919289411067</v>
      </c>
    </row>
    <row r="19" spans="2:52" ht="20" customHeight="1" outlineLevel="1" x14ac:dyDescent="0.25">
      <c r="B19" s="256" t="s">
        <v>163</v>
      </c>
      <c r="C19" s="257">
        <f>C18-C16</f>
        <v>0</v>
      </c>
      <c r="D19" s="257">
        <f t="shared" ref="D19:AZ19" si="6">D18-D16</f>
        <v>0</v>
      </c>
      <c r="E19" s="257">
        <f t="shared" si="6"/>
        <v>0</v>
      </c>
      <c r="F19" s="257">
        <f t="shared" si="6"/>
        <v>-16764.066260360007</v>
      </c>
      <c r="G19" s="257">
        <f t="shared" si="6"/>
        <v>-16106.048383520007</v>
      </c>
      <c r="H19" s="257">
        <f t="shared" si="6"/>
        <v>-15527.261839968001</v>
      </c>
      <c r="I19" s="257">
        <f t="shared" si="6"/>
        <v>0</v>
      </c>
      <c r="J19" s="257">
        <f t="shared" si="6"/>
        <v>0</v>
      </c>
      <c r="K19" s="257">
        <f t="shared" si="6"/>
        <v>0</v>
      </c>
      <c r="L19" s="257">
        <f t="shared" si="6"/>
        <v>0</v>
      </c>
      <c r="M19" s="257">
        <f t="shared" si="6"/>
        <v>0</v>
      </c>
      <c r="N19" s="257">
        <f t="shared" si="6"/>
        <v>0</v>
      </c>
      <c r="O19" s="257">
        <f t="shared" si="6"/>
        <v>0</v>
      </c>
      <c r="P19" s="257">
        <f t="shared" si="6"/>
        <v>0</v>
      </c>
      <c r="Q19" s="257">
        <f t="shared" si="6"/>
        <v>0</v>
      </c>
      <c r="R19" s="257">
        <f t="shared" si="6"/>
        <v>0</v>
      </c>
      <c r="S19" s="257">
        <f t="shared" si="6"/>
        <v>0</v>
      </c>
      <c r="T19" s="257">
        <f t="shared" si="6"/>
        <v>0</v>
      </c>
      <c r="U19" s="257">
        <f t="shared" si="6"/>
        <v>0</v>
      </c>
      <c r="V19" s="257">
        <f t="shared" si="6"/>
        <v>0</v>
      </c>
      <c r="W19" s="257">
        <f t="shared" si="6"/>
        <v>0</v>
      </c>
      <c r="X19" s="257">
        <f t="shared" si="6"/>
        <v>0</v>
      </c>
      <c r="Y19" s="257">
        <f t="shared" si="6"/>
        <v>0</v>
      </c>
      <c r="Z19" s="257">
        <f t="shared" si="6"/>
        <v>0</v>
      </c>
      <c r="AA19" s="257">
        <f t="shared" si="6"/>
        <v>0</v>
      </c>
      <c r="AB19" s="257">
        <f t="shared" si="6"/>
        <v>0</v>
      </c>
      <c r="AC19" s="257">
        <f t="shared" si="6"/>
        <v>0</v>
      </c>
      <c r="AD19" s="257">
        <f t="shared" si="6"/>
        <v>0</v>
      </c>
      <c r="AE19" s="257">
        <f t="shared" si="6"/>
        <v>0</v>
      </c>
      <c r="AF19" s="257">
        <f t="shared" si="6"/>
        <v>0</v>
      </c>
      <c r="AG19" s="257">
        <f t="shared" si="6"/>
        <v>0</v>
      </c>
      <c r="AH19" s="257">
        <f t="shared" si="6"/>
        <v>0</v>
      </c>
      <c r="AI19" s="257">
        <f t="shared" si="6"/>
        <v>0</v>
      </c>
      <c r="AJ19" s="257">
        <f t="shared" si="6"/>
        <v>0</v>
      </c>
      <c r="AK19" s="257">
        <f t="shared" si="6"/>
        <v>0</v>
      </c>
      <c r="AL19" s="257">
        <f t="shared" si="6"/>
        <v>0</v>
      </c>
      <c r="AM19" s="257">
        <f t="shared" si="6"/>
        <v>0</v>
      </c>
      <c r="AN19" s="257">
        <f t="shared" si="6"/>
        <v>0</v>
      </c>
      <c r="AO19" s="257">
        <f t="shared" si="6"/>
        <v>0</v>
      </c>
      <c r="AP19" s="257">
        <f t="shared" si="6"/>
        <v>0</v>
      </c>
      <c r="AQ19" s="257">
        <f t="shared" si="6"/>
        <v>0</v>
      </c>
      <c r="AR19" s="257">
        <f t="shared" si="6"/>
        <v>0</v>
      </c>
      <c r="AS19" s="257">
        <f t="shared" si="6"/>
        <v>0</v>
      </c>
      <c r="AT19" s="257">
        <f t="shared" si="6"/>
        <v>0</v>
      </c>
      <c r="AU19" s="257">
        <f t="shared" si="6"/>
        <v>0</v>
      </c>
      <c r="AV19" s="257">
        <f t="shared" si="6"/>
        <v>0</v>
      </c>
      <c r="AW19" s="257">
        <f t="shared" si="6"/>
        <v>0</v>
      </c>
      <c r="AX19" s="257">
        <f t="shared" si="6"/>
        <v>0</v>
      </c>
      <c r="AY19" s="257">
        <f t="shared" si="6"/>
        <v>0</v>
      </c>
      <c r="AZ19" s="257">
        <f t="shared" si="6"/>
        <v>0</v>
      </c>
    </row>
    <row r="20" spans="2:52" ht="20" customHeight="1" outlineLevel="1" x14ac:dyDescent="0.25">
      <c r="B20" s="298" t="s">
        <v>160</v>
      </c>
      <c r="C20" s="255">
        <f>C18</f>
        <v>-39663.98486490002</v>
      </c>
      <c r="D20" s="255">
        <f t="shared" ref="D20:H20" si="7">D18</f>
        <v>-56640.221414700049</v>
      </c>
      <c r="E20" s="255">
        <f t="shared" si="7"/>
        <v>-5885.6045698800117</v>
      </c>
      <c r="F20" s="255">
        <f t="shared" si="7"/>
        <v>-396.15666644000521</v>
      </c>
      <c r="G20" s="255">
        <f t="shared" si="7"/>
        <v>1509.2577696959895</v>
      </c>
      <c r="H20" s="255">
        <f t="shared" si="7"/>
        <v>2850.3888037299125</v>
      </c>
      <c r="I20" s="255">
        <v>4206.7667275734766</v>
      </c>
      <c r="J20" s="255">
        <v>5578.696479022864</v>
      </c>
      <c r="K20" s="255">
        <v>6966.4890946301894</v>
      </c>
      <c r="L20" s="254">
        <f t="shared" ref="L20:AH20" si="8">L18</f>
        <v>7293.8947720386377</v>
      </c>
      <c r="M20" s="254">
        <f t="shared" si="8"/>
        <v>8683.6437528450133</v>
      </c>
      <c r="N20" s="254">
        <f t="shared" si="8"/>
        <v>10090.226531998715</v>
      </c>
      <c r="O20" s="254">
        <f t="shared" si="8"/>
        <v>-40142.896695506664</v>
      </c>
      <c r="P20" s="254">
        <f t="shared" si="8"/>
        <v>-36771.003380600981</v>
      </c>
      <c r="Q20" s="254">
        <f t="shared" si="8"/>
        <v>-33376.779863849617</v>
      </c>
      <c r="R20" s="254">
        <f t="shared" si="8"/>
        <v>-29959.779541215583</v>
      </c>
      <c r="S20" s="254">
        <f t="shared" si="8"/>
        <v>-26519.546876581328</v>
      </c>
      <c r="T20" s="254">
        <f t="shared" si="8"/>
        <v>18061.569781106624</v>
      </c>
      <c r="U20" s="254">
        <f t="shared" si="8"/>
        <v>19663.749679563967</v>
      </c>
      <c r="V20" s="254">
        <f t="shared" si="8"/>
        <v>21285.653055772833</v>
      </c>
      <c r="W20" s="254">
        <f t="shared" si="8"/>
        <v>22927.674379288292</v>
      </c>
      <c r="X20" s="254">
        <f t="shared" si="8"/>
        <v>24590.216009056472</v>
      </c>
      <c r="Y20" s="254">
        <f t="shared" si="8"/>
        <v>26273.688351202392</v>
      </c>
      <c r="Z20" s="254">
        <f t="shared" si="8"/>
        <v>27978.510019973648</v>
      </c>
      <c r="AA20" s="254">
        <f t="shared" si="8"/>
        <v>29705.10800190271</v>
      </c>
      <c r="AB20" s="254">
        <f t="shared" si="8"/>
        <v>31453.917823252756</v>
      </c>
      <c r="AC20" s="254">
        <f t="shared" si="8"/>
        <v>33225.383720812228</v>
      </c>
      <c r="AD20" s="254">
        <f t="shared" si="8"/>
        <v>35019.958816105267</v>
      </c>
      <c r="AE20" s="254">
        <f t="shared" si="8"/>
        <v>36838.10529308657</v>
      </c>
      <c r="AF20" s="254">
        <f t="shared" si="8"/>
        <v>38680.294579389898</v>
      </c>
      <c r="AG20" s="254">
        <f t="shared" si="8"/>
        <v>40547.007531201685</v>
      </c>
      <c r="AH20" s="254">
        <f t="shared" si="8"/>
        <v>42438.734621832133</v>
      </c>
      <c r="AI20" s="254">
        <f t="shared" ref="AI20:AZ20" si="9">AI18</f>
        <v>30991.112963959418</v>
      </c>
      <c r="AJ20" s="254">
        <f t="shared" si="9"/>
        <v>31600.935223238612</v>
      </c>
      <c r="AK20" s="254">
        <f t="shared" si="9"/>
        <v>32222.953927703387</v>
      </c>
      <c r="AL20" s="254">
        <f t="shared" si="9"/>
        <v>32857.413006257455</v>
      </c>
      <c r="AM20" s="254">
        <f t="shared" si="9"/>
        <v>33504.561266382596</v>
      </c>
      <c r="AN20" s="254">
        <f t="shared" si="9"/>
        <v>34164.652491710251</v>
      </c>
      <c r="AO20" s="254">
        <f t="shared" si="9"/>
        <v>34837.945541544461</v>
      </c>
      <c r="AP20" s="254">
        <f t="shared" si="9"/>
        <v>35524.70445237535</v>
      </c>
      <c r="AQ20" s="254">
        <f t="shared" si="9"/>
        <v>36225.198541422847</v>
      </c>
      <c r="AR20" s="254">
        <f t="shared" si="9"/>
        <v>36939.702512251315</v>
      </c>
      <c r="AS20" s="254">
        <f t="shared" si="9"/>
        <v>37668.496562496337</v>
      </c>
      <c r="AT20" s="254">
        <f t="shared" si="9"/>
        <v>38411.86649374626</v>
      </c>
      <c r="AU20" s="254">
        <f t="shared" si="9"/>
        <v>39170.10382362119</v>
      </c>
      <c r="AV20" s="254">
        <f t="shared" si="9"/>
        <v>39943.505900093623</v>
      </c>
      <c r="AW20" s="254">
        <f t="shared" si="9"/>
        <v>40732.376018095485</v>
      </c>
      <c r="AX20" s="254">
        <f t="shared" si="9"/>
        <v>41537.023538457404</v>
      </c>
      <c r="AY20" s="254">
        <f t="shared" si="9"/>
        <v>42357.764009226536</v>
      </c>
      <c r="AZ20" s="254">
        <f t="shared" si="9"/>
        <v>43194.919289411067</v>
      </c>
    </row>
    <row r="21" spans="2:52" ht="20" customHeight="1" outlineLevel="1" x14ac:dyDescent="0.25">
      <c r="B21" s="256" t="s">
        <v>163</v>
      </c>
      <c r="C21" s="257">
        <f>C20-C18</f>
        <v>0</v>
      </c>
      <c r="D21" s="257">
        <f t="shared" ref="D21" si="10">D20-D18</f>
        <v>0</v>
      </c>
      <c r="E21" s="257">
        <f t="shared" ref="E21" si="11">E20-E18</f>
        <v>0</v>
      </c>
      <c r="F21" s="257">
        <f t="shared" ref="F21" si="12">F20-F18</f>
        <v>0</v>
      </c>
      <c r="G21" s="257">
        <f t="shared" ref="G21" si="13">G20-G18</f>
        <v>0</v>
      </c>
      <c r="H21" s="257">
        <f t="shared" ref="H21" si="14">H20-H18</f>
        <v>0</v>
      </c>
      <c r="I21" s="257">
        <f t="shared" ref="I21" si="15">I20-I18</f>
        <v>-14948.475296416002</v>
      </c>
      <c r="J21" s="257">
        <f t="shared" ref="J21" si="16">J20-J18</f>
        <v>1015.112099416001</v>
      </c>
      <c r="K21" s="257">
        <f t="shared" ref="K21" si="17">K20-K18</f>
        <v>1045.8395795279994</v>
      </c>
      <c r="L21" s="257">
        <f t="shared" ref="L21" si="18">L20-L18</f>
        <v>0</v>
      </c>
      <c r="M21" s="257">
        <f t="shared" ref="M21" si="19">M20-M18</f>
        <v>0</v>
      </c>
      <c r="N21" s="257">
        <f t="shared" ref="N21" si="20">N20-N18</f>
        <v>0</v>
      </c>
      <c r="O21" s="257">
        <f t="shared" ref="O21" si="21">O20-O18</f>
        <v>0</v>
      </c>
      <c r="P21" s="257">
        <f t="shared" ref="P21" si="22">P20-P18</f>
        <v>0</v>
      </c>
      <c r="Q21" s="257">
        <f t="shared" ref="Q21" si="23">Q20-Q18</f>
        <v>0</v>
      </c>
      <c r="R21" s="257">
        <f t="shared" ref="R21" si="24">R20-R18</f>
        <v>0</v>
      </c>
      <c r="S21" s="257">
        <f t="shared" ref="S21" si="25">S20-S18</f>
        <v>0</v>
      </c>
      <c r="T21" s="257">
        <f t="shared" ref="T21" si="26">T20-T18</f>
        <v>0</v>
      </c>
      <c r="U21" s="257">
        <f t="shared" ref="U21" si="27">U20-U18</f>
        <v>0</v>
      </c>
      <c r="V21" s="257">
        <f t="shared" ref="V21" si="28">V20-V18</f>
        <v>0</v>
      </c>
      <c r="W21" s="257">
        <f t="shared" ref="W21" si="29">W20-W18</f>
        <v>0</v>
      </c>
      <c r="X21" s="257">
        <f t="shared" ref="X21" si="30">X20-X18</f>
        <v>0</v>
      </c>
      <c r="Y21" s="257">
        <f t="shared" ref="Y21" si="31">Y20-Y18</f>
        <v>0</v>
      </c>
      <c r="Z21" s="257">
        <f t="shared" ref="Z21" si="32">Z20-Z18</f>
        <v>0</v>
      </c>
      <c r="AA21" s="257">
        <f t="shared" ref="AA21" si="33">AA20-AA18</f>
        <v>0</v>
      </c>
      <c r="AB21" s="257">
        <f t="shared" ref="AB21" si="34">AB20-AB18</f>
        <v>0</v>
      </c>
      <c r="AC21" s="257">
        <f t="shared" ref="AC21" si="35">AC20-AC18</f>
        <v>0</v>
      </c>
      <c r="AD21" s="257">
        <f t="shared" ref="AD21" si="36">AD20-AD18</f>
        <v>0</v>
      </c>
      <c r="AE21" s="257">
        <f t="shared" ref="AE21" si="37">AE20-AE18</f>
        <v>0</v>
      </c>
      <c r="AF21" s="257">
        <f t="shared" ref="AF21" si="38">AF20-AF18</f>
        <v>0</v>
      </c>
      <c r="AG21" s="257">
        <f t="shared" ref="AG21" si="39">AG20-AG18</f>
        <v>0</v>
      </c>
      <c r="AH21" s="257">
        <f t="shared" ref="AH21" si="40">AH20-AH18</f>
        <v>0</v>
      </c>
      <c r="AI21" s="257">
        <f t="shared" ref="AI21" si="41">AI20-AI18</f>
        <v>0</v>
      </c>
      <c r="AJ21" s="257">
        <f t="shared" ref="AJ21" si="42">AJ20-AJ18</f>
        <v>0</v>
      </c>
      <c r="AK21" s="257">
        <f t="shared" ref="AK21" si="43">AK20-AK18</f>
        <v>0</v>
      </c>
      <c r="AL21" s="257">
        <f t="shared" ref="AL21" si="44">AL20-AL18</f>
        <v>0</v>
      </c>
      <c r="AM21" s="257">
        <f t="shared" ref="AM21" si="45">AM20-AM18</f>
        <v>0</v>
      </c>
      <c r="AN21" s="257">
        <f t="shared" ref="AN21" si="46">AN20-AN18</f>
        <v>0</v>
      </c>
      <c r="AO21" s="257">
        <f t="shared" ref="AO21" si="47">AO20-AO18</f>
        <v>0</v>
      </c>
      <c r="AP21" s="257">
        <f t="shared" ref="AP21" si="48">AP20-AP18</f>
        <v>0</v>
      </c>
      <c r="AQ21" s="257">
        <f t="shared" ref="AQ21" si="49">AQ20-AQ18</f>
        <v>0</v>
      </c>
      <c r="AR21" s="257">
        <f t="shared" ref="AR21" si="50">AR20-AR18</f>
        <v>0</v>
      </c>
      <c r="AS21" s="257">
        <f t="shared" ref="AS21" si="51">AS20-AS18</f>
        <v>0</v>
      </c>
      <c r="AT21" s="257">
        <f t="shared" ref="AT21" si="52">AT20-AT18</f>
        <v>0</v>
      </c>
      <c r="AU21" s="257">
        <f t="shared" ref="AU21" si="53">AU20-AU18</f>
        <v>0</v>
      </c>
      <c r="AV21" s="257">
        <f t="shared" ref="AV21" si="54">AV20-AV18</f>
        <v>0</v>
      </c>
      <c r="AW21" s="257">
        <f t="shared" ref="AW21" si="55">AW20-AW18</f>
        <v>0</v>
      </c>
      <c r="AX21" s="257">
        <f t="shared" ref="AX21" si="56">AX20-AX18</f>
        <v>0</v>
      </c>
      <c r="AY21" s="257">
        <f t="shared" ref="AY21" si="57">AY20-AY18</f>
        <v>0</v>
      </c>
      <c r="AZ21" s="257">
        <f t="shared" ref="AZ21" si="58">AZ20-AZ18</f>
        <v>0</v>
      </c>
    </row>
    <row r="22" spans="2:52" ht="20" customHeight="1" outlineLevel="1" x14ac:dyDescent="0.25">
      <c r="B22" s="298" t="s">
        <v>161</v>
      </c>
      <c r="C22" s="255">
        <f>C20</f>
        <v>-39663.98486490002</v>
      </c>
      <c r="D22" s="255">
        <f t="shared" ref="D22:K22" si="59">D20</f>
        <v>-56640.221414700049</v>
      </c>
      <c r="E22" s="255">
        <f t="shared" si="59"/>
        <v>-5885.6045698800117</v>
      </c>
      <c r="F22" s="255">
        <f t="shared" si="59"/>
        <v>-396.15666644000521</v>
      </c>
      <c r="G22" s="255">
        <f t="shared" si="59"/>
        <v>1509.2577696959895</v>
      </c>
      <c r="H22" s="255">
        <f t="shared" si="59"/>
        <v>2850.3888037299125</v>
      </c>
      <c r="I22" s="255">
        <f>I20</f>
        <v>4206.7667275734766</v>
      </c>
      <c r="J22" s="255">
        <f t="shared" si="59"/>
        <v>5578.696479022864</v>
      </c>
      <c r="K22" s="255">
        <f t="shared" si="59"/>
        <v>6966.4890946301894</v>
      </c>
      <c r="L22" s="255">
        <v>8370.46183167864</v>
      </c>
      <c r="M22" s="255">
        <v>9790.9382925970131</v>
      </c>
      <c r="N22" s="255">
        <v>11228.248551862716</v>
      </c>
      <c r="O22" s="254">
        <f t="shared" ref="O22:AH22" si="60">O20</f>
        <v>-40142.896695506664</v>
      </c>
      <c r="P22" s="254">
        <f t="shared" si="60"/>
        <v>-36771.003380600981</v>
      </c>
      <c r="Q22" s="254">
        <f t="shared" si="60"/>
        <v>-33376.779863849617</v>
      </c>
      <c r="R22" s="254">
        <f t="shared" si="60"/>
        <v>-29959.779541215583</v>
      </c>
      <c r="S22" s="254">
        <f t="shared" si="60"/>
        <v>-26519.546876581328</v>
      </c>
      <c r="T22" s="254">
        <f t="shared" si="60"/>
        <v>18061.569781106624</v>
      </c>
      <c r="U22" s="254">
        <f t="shared" si="60"/>
        <v>19663.749679563967</v>
      </c>
      <c r="V22" s="254">
        <f t="shared" si="60"/>
        <v>21285.653055772833</v>
      </c>
      <c r="W22" s="254">
        <f t="shared" si="60"/>
        <v>22927.674379288292</v>
      </c>
      <c r="X22" s="254">
        <f t="shared" si="60"/>
        <v>24590.216009056472</v>
      </c>
      <c r="Y22" s="254">
        <f t="shared" si="60"/>
        <v>26273.688351202392</v>
      </c>
      <c r="Z22" s="254">
        <f t="shared" si="60"/>
        <v>27978.510019973648</v>
      </c>
      <c r="AA22" s="254">
        <f t="shared" si="60"/>
        <v>29705.10800190271</v>
      </c>
      <c r="AB22" s="254">
        <f t="shared" si="60"/>
        <v>31453.917823252756</v>
      </c>
      <c r="AC22" s="254">
        <f t="shared" si="60"/>
        <v>33225.383720812228</v>
      </c>
      <c r="AD22" s="254">
        <f t="shared" si="60"/>
        <v>35019.958816105267</v>
      </c>
      <c r="AE22" s="254">
        <f t="shared" si="60"/>
        <v>36838.10529308657</v>
      </c>
      <c r="AF22" s="254">
        <f t="shared" si="60"/>
        <v>38680.294579389898</v>
      </c>
      <c r="AG22" s="254">
        <f t="shared" si="60"/>
        <v>40547.007531201685</v>
      </c>
      <c r="AH22" s="254">
        <f t="shared" si="60"/>
        <v>42438.734621832133</v>
      </c>
      <c r="AI22" s="254">
        <f t="shared" ref="AI22:AZ22" si="61">AI20</f>
        <v>30991.112963959418</v>
      </c>
      <c r="AJ22" s="254">
        <f t="shared" si="61"/>
        <v>31600.935223238612</v>
      </c>
      <c r="AK22" s="254">
        <f t="shared" si="61"/>
        <v>32222.953927703387</v>
      </c>
      <c r="AL22" s="254">
        <f t="shared" si="61"/>
        <v>32857.413006257455</v>
      </c>
      <c r="AM22" s="254">
        <f t="shared" si="61"/>
        <v>33504.561266382596</v>
      </c>
      <c r="AN22" s="254">
        <f t="shared" si="61"/>
        <v>34164.652491710251</v>
      </c>
      <c r="AO22" s="254">
        <f t="shared" si="61"/>
        <v>34837.945541544461</v>
      </c>
      <c r="AP22" s="254">
        <f t="shared" si="61"/>
        <v>35524.70445237535</v>
      </c>
      <c r="AQ22" s="254">
        <f t="shared" si="61"/>
        <v>36225.198541422847</v>
      </c>
      <c r="AR22" s="254">
        <f t="shared" si="61"/>
        <v>36939.702512251315</v>
      </c>
      <c r="AS22" s="254">
        <f t="shared" si="61"/>
        <v>37668.496562496337</v>
      </c>
      <c r="AT22" s="254">
        <f t="shared" si="61"/>
        <v>38411.86649374626</v>
      </c>
      <c r="AU22" s="254">
        <f t="shared" si="61"/>
        <v>39170.10382362119</v>
      </c>
      <c r="AV22" s="254">
        <f t="shared" si="61"/>
        <v>39943.505900093623</v>
      </c>
      <c r="AW22" s="254">
        <f t="shared" si="61"/>
        <v>40732.376018095485</v>
      </c>
      <c r="AX22" s="254">
        <f t="shared" si="61"/>
        <v>41537.023538457404</v>
      </c>
      <c r="AY22" s="254">
        <f t="shared" si="61"/>
        <v>42357.764009226536</v>
      </c>
      <c r="AZ22" s="254">
        <f t="shared" si="61"/>
        <v>43194.919289411067</v>
      </c>
    </row>
    <row r="23" spans="2:52" ht="20" customHeight="1" outlineLevel="1" x14ac:dyDescent="0.25">
      <c r="B23" s="256" t="s">
        <v>163</v>
      </c>
      <c r="C23" s="257">
        <f>C22-C20</f>
        <v>0</v>
      </c>
      <c r="D23" s="257">
        <f t="shared" ref="D23:AZ43" si="62">D22-D20</f>
        <v>0</v>
      </c>
      <c r="E23" s="257">
        <f t="shared" si="62"/>
        <v>0</v>
      </c>
      <c r="F23" s="257">
        <f t="shared" si="62"/>
        <v>0</v>
      </c>
      <c r="G23" s="257">
        <f t="shared" si="62"/>
        <v>0</v>
      </c>
      <c r="H23" s="257">
        <f t="shared" si="62"/>
        <v>0</v>
      </c>
      <c r="I23" s="257">
        <f t="shared" si="62"/>
        <v>0</v>
      </c>
      <c r="J23" s="257">
        <f t="shared" si="62"/>
        <v>0</v>
      </c>
      <c r="K23" s="257">
        <f t="shared" si="62"/>
        <v>0</v>
      </c>
      <c r="L23" s="257">
        <f t="shared" si="62"/>
        <v>1076.5670596400023</v>
      </c>
      <c r="M23" s="257">
        <f t="shared" si="62"/>
        <v>1107.2945397519998</v>
      </c>
      <c r="N23" s="257">
        <f t="shared" si="62"/>
        <v>1138.0220198640018</v>
      </c>
      <c r="O23" s="257">
        <f t="shared" si="62"/>
        <v>0</v>
      </c>
      <c r="P23" s="257">
        <f t="shared" si="62"/>
        <v>0</v>
      </c>
      <c r="Q23" s="257">
        <f t="shared" si="62"/>
        <v>0</v>
      </c>
      <c r="R23" s="257">
        <f t="shared" si="62"/>
        <v>0</v>
      </c>
      <c r="S23" s="257">
        <f t="shared" si="62"/>
        <v>0</v>
      </c>
      <c r="T23" s="257">
        <f t="shared" si="62"/>
        <v>0</v>
      </c>
      <c r="U23" s="257">
        <f t="shared" si="62"/>
        <v>0</v>
      </c>
      <c r="V23" s="257">
        <f t="shared" si="62"/>
        <v>0</v>
      </c>
      <c r="W23" s="257">
        <f t="shared" si="62"/>
        <v>0</v>
      </c>
      <c r="X23" s="257">
        <f t="shared" si="62"/>
        <v>0</v>
      </c>
      <c r="Y23" s="257">
        <f t="shared" si="62"/>
        <v>0</v>
      </c>
      <c r="Z23" s="257">
        <f t="shared" si="62"/>
        <v>0</v>
      </c>
      <c r="AA23" s="257">
        <f t="shared" si="62"/>
        <v>0</v>
      </c>
      <c r="AB23" s="257">
        <f t="shared" si="62"/>
        <v>0</v>
      </c>
      <c r="AC23" s="257">
        <f t="shared" si="62"/>
        <v>0</v>
      </c>
      <c r="AD23" s="257">
        <f t="shared" si="62"/>
        <v>0</v>
      </c>
      <c r="AE23" s="257">
        <f t="shared" si="62"/>
        <v>0</v>
      </c>
      <c r="AF23" s="257">
        <f t="shared" si="62"/>
        <v>0</v>
      </c>
      <c r="AG23" s="257">
        <f t="shared" si="62"/>
        <v>0</v>
      </c>
      <c r="AH23" s="257">
        <f t="shared" si="62"/>
        <v>0</v>
      </c>
      <c r="AI23" s="257">
        <f t="shared" si="62"/>
        <v>0</v>
      </c>
      <c r="AJ23" s="257">
        <f t="shared" si="62"/>
        <v>0</v>
      </c>
      <c r="AK23" s="257">
        <f t="shared" si="62"/>
        <v>0</v>
      </c>
      <c r="AL23" s="257">
        <f t="shared" si="62"/>
        <v>0</v>
      </c>
      <c r="AM23" s="257">
        <f t="shared" si="62"/>
        <v>0</v>
      </c>
      <c r="AN23" s="257">
        <f t="shared" si="62"/>
        <v>0</v>
      </c>
      <c r="AO23" s="257">
        <f t="shared" si="62"/>
        <v>0</v>
      </c>
      <c r="AP23" s="257">
        <f t="shared" si="62"/>
        <v>0</v>
      </c>
      <c r="AQ23" s="257">
        <f t="shared" si="62"/>
        <v>0</v>
      </c>
      <c r="AR23" s="257">
        <f t="shared" si="62"/>
        <v>0</v>
      </c>
      <c r="AS23" s="257">
        <f t="shared" si="62"/>
        <v>0</v>
      </c>
      <c r="AT23" s="257">
        <f t="shared" si="62"/>
        <v>0</v>
      </c>
      <c r="AU23" s="257">
        <f t="shared" si="62"/>
        <v>0</v>
      </c>
      <c r="AV23" s="257">
        <f t="shared" si="62"/>
        <v>0</v>
      </c>
      <c r="AW23" s="257">
        <f t="shared" si="62"/>
        <v>0</v>
      </c>
      <c r="AX23" s="257">
        <f t="shared" si="62"/>
        <v>0</v>
      </c>
      <c r="AY23" s="257">
        <f t="shared" si="62"/>
        <v>0</v>
      </c>
      <c r="AZ23" s="257">
        <f t="shared" si="62"/>
        <v>0</v>
      </c>
    </row>
    <row r="24" spans="2:52" ht="20" customHeight="1" outlineLevel="1" x14ac:dyDescent="0.25">
      <c r="B24" s="298" t="s">
        <v>167</v>
      </c>
      <c r="C24" s="255">
        <f>C22</f>
        <v>-39663.98486490002</v>
      </c>
      <c r="D24" s="255">
        <f t="shared" ref="D24:N24" si="63">D22</f>
        <v>-56640.221414700049</v>
      </c>
      <c r="E24" s="255">
        <f t="shared" si="63"/>
        <v>-5885.6045698800117</v>
      </c>
      <c r="F24" s="255">
        <f t="shared" si="63"/>
        <v>-396.15666644000521</v>
      </c>
      <c r="G24" s="255">
        <f t="shared" si="63"/>
        <v>1509.2577696959895</v>
      </c>
      <c r="H24" s="255">
        <f t="shared" si="63"/>
        <v>2850.3888037299125</v>
      </c>
      <c r="I24" s="255">
        <f t="shared" si="63"/>
        <v>4206.7667275734766</v>
      </c>
      <c r="J24" s="255">
        <f t="shared" si="63"/>
        <v>5578.696479022864</v>
      </c>
      <c r="K24" s="255">
        <f t="shared" si="63"/>
        <v>6966.4890946301894</v>
      </c>
      <c r="L24" s="255">
        <f t="shared" si="63"/>
        <v>8370.46183167864</v>
      </c>
      <c r="M24" s="255">
        <f t="shared" si="63"/>
        <v>9790.9382925970131</v>
      </c>
      <c r="N24" s="255">
        <f t="shared" si="63"/>
        <v>11228.248551862716</v>
      </c>
      <c r="O24" s="255">
        <v>-12405.381436396652</v>
      </c>
      <c r="P24" s="255">
        <v>-9795.3806510709692</v>
      </c>
      <c r="Q24" s="255">
        <v>-7163.0496638995901</v>
      </c>
      <c r="R24" s="254">
        <f>R22</f>
        <v>-29959.779541215583</v>
      </c>
      <c r="S24" s="254">
        <f t="shared" ref="S24:AH24" si="64">S22</f>
        <v>-26519.546876581328</v>
      </c>
      <c r="T24" s="254">
        <f t="shared" si="64"/>
        <v>18061.569781106624</v>
      </c>
      <c r="U24" s="254">
        <f t="shared" si="64"/>
        <v>19663.749679563967</v>
      </c>
      <c r="V24" s="254">
        <f t="shared" si="64"/>
        <v>21285.653055772833</v>
      </c>
      <c r="W24" s="254">
        <f t="shared" si="64"/>
        <v>22927.674379288292</v>
      </c>
      <c r="X24" s="254">
        <f t="shared" si="64"/>
        <v>24590.216009056472</v>
      </c>
      <c r="Y24" s="254">
        <f t="shared" si="64"/>
        <v>26273.688351202392</v>
      </c>
      <c r="Z24" s="254">
        <f t="shared" si="64"/>
        <v>27978.510019973648</v>
      </c>
      <c r="AA24" s="254">
        <f t="shared" si="64"/>
        <v>29705.10800190271</v>
      </c>
      <c r="AB24" s="254">
        <f t="shared" si="64"/>
        <v>31453.917823252756</v>
      </c>
      <c r="AC24" s="254">
        <f t="shared" si="64"/>
        <v>33225.383720812228</v>
      </c>
      <c r="AD24" s="254">
        <f t="shared" si="64"/>
        <v>35019.958816105267</v>
      </c>
      <c r="AE24" s="254">
        <f t="shared" si="64"/>
        <v>36838.10529308657</v>
      </c>
      <c r="AF24" s="254">
        <f t="shared" si="64"/>
        <v>38680.294579389898</v>
      </c>
      <c r="AG24" s="254">
        <f t="shared" si="64"/>
        <v>40547.007531201685</v>
      </c>
      <c r="AH24" s="254">
        <f t="shared" si="64"/>
        <v>42438.734621832133</v>
      </c>
      <c r="AI24" s="254">
        <f t="shared" ref="AI24:AZ24" si="65">AI22</f>
        <v>30991.112963959418</v>
      </c>
      <c r="AJ24" s="254">
        <f t="shared" si="65"/>
        <v>31600.935223238612</v>
      </c>
      <c r="AK24" s="254">
        <f t="shared" si="65"/>
        <v>32222.953927703387</v>
      </c>
      <c r="AL24" s="254">
        <f t="shared" si="65"/>
        <v>32857.413006257455</v>
      </c>
      <c r="AM24" s="254">
        <f t="shared" si="65"/>
        <v>33504.561266382596</v>
      </c>
      <c r="AN24" s="254">
        <f t="shared" si="65"/>
        <v>34164.652491710251</v>
      </c>
      <c r="AO24" s="254">
        <f t="shared" si="65"/>
        <v>34837.945541544461</v>
      </c>
      <c r="AP24" s="254">
        <f t="shared" si="65"/>
        <v>35524.70445237535</v>
      </c>
      <c r="AQ24" s="254">
        <f t="shared" si="65"/>
        <v>36225.198541422847</v>
      </c>
      <c r="AR24" s="254">
        <f t="shared" si="65"/>
        <v>36939.702512251315</v>
      </c>
      <c r="AS24" s="254">
        <f t="shared" si="65"/>
        <v>37668.496562496337</v>
      </c>
      <c r="AT24" s="254">
        <f t="shared" si="65"/>
        <v>38411.86649374626</v>
      </c>
      <c r="AU24" s="254">
        <f t="shared" si="65"/>
        <v>39170.10382362119</v>
      </c>
      <c r="AV24" s="254">
        <f t="shared" si="65"/>
        <v>39943.505900093623</v>
      </c>
      <c r="AW24" s="254">
        <f t="shared" si="65"/>
        <v>40732.376018095485</v>
      </c>
      <c r="AX24" s="254">
        <f t="shared" si="65"/>
        <v>41537.023538457404</v>
      </c>
      <c r="AY24" s="254">
        <f t="shared" si="65"/>
        <v>42357.764009226536</v>
      </c>
      <c r="AZ24" s="254">
        <f t="shared" si="65"/>
        <v>43194.919289411067</v>
      </c>
    </row>
    <row r="25" spans="2:52" ht="20" customHeight="1" outlineLevel="1" x14ac:dyDescent="0.25">
      <c r="B25" s="256" t="s">
        <v>163</v>
      </c>
      <c r="C25" s="257">
        <f>C24-C22</f>
        <v>0</v>
      </c>
      <c r="D25" s="257">
        <f t="shared" si="62"/>
        <v>0</v>
      </c>
      <c r="E25" s="257">
        <f t="shared" si="62"/>
        <v>0</v>
      </c>
      <c r="F25" s="257">
        <f t="shared" si="62"/>
        <v>0</v>
      </c>
      <c r="G25" s="257">
        <f t="shared" si="62"/>
        <v>0</v>
      </c>
      <c r="H25" s="257">
        <f t="shared" si="62"/>
        <v>0</v>
      </c>
      <c r="I25" s="257">
        <f t="shared" si="62"/>
        <v>0</v>
      </c>
      <c r="J25" s="257">
        <f t="shared" si="62"/>
        <v>0</v>
      </c>
      <c r="K25" s="257">
        <f t="shared" si="62"/>
        <v>0</v>
      </c>
      <c r="L25" s="257">
        <f t="shared" si="62"/>
        <v>0</v>
      </c>
      <c r="M25" s="257">
        <f t="shared" si="62"/>
        <v>0</v>
      </c>
      <c r="N25" s="257">
        <f t="shared" si="62"/>
        <v>0</v>
      </c>
      <c r="O25" s="257">
        <f t="shared" si="62"/>
        <v>27737.515259110012</v>
      </c>
      <c r="P25" s="257">
        <f t="shared" si="62"/>
        <v>26975.622729530012</v>
      </c>
      <c r="Q25" s="257">
        <f t="shared" si="62"/>
        <v>26213.730199950027</v>
      </c>
      <c r="R25" s="257">
        <f t="shared" si="62"/>
        <v>0</v>
      </c>
      <c r="S25" s="257">
        <f t="shared" si="62"/>
        <v>0</v>
      </c>
      <c r="T25" s="257">
        <f t="shared" si="62"/>
        <v>0</v>
      </c>
      <c r="U25" s="257">
        <f t="shared" si="62"/>
        <v>0</v>
      </c>
      <c r="V25" s="257">
        <f t="shared" si="62"/>
        <v>0</v>
      </c>
      <c r="W25" s="257">
        <f t="shared" si="62"/>
        <v>0</v>
      </c>
      <c r="X25" s="257">
        <f t="shared" si="62"/>
        <v>0</v>
      </c>
      <c r="Y25" s="257">
        <f t="shared" si="62"/>
        <v>0</v>
      </c>
      <c r="Z25" s="257">
        <f t="shared" si="62"/>
        <v>0</v>
      </c>
      <c r="AA25" s="257">
        <f t="shared" si="62"/>
        <v>0</v>
      </c>
      <c r="AB25" s="257">
        <f t="shared" si="62"/>
        <v>0</v>
      </c>
      <c r="AC25" s="257">
        <f t="shared" si="62"/>
        <v>0</v>
      </c>
      <c r="AD25" s="257">
        <f t="shared" si="62"/>
        <v>0</v>
      </c>
      <c r="AE25" s="257">
        <f t="shared" si="62"/>
        <v>0</v>
      </c>
      <c r="AF25" s="257">
        <f t="shared" si="62"/>
        <v>0</v>
      </c>
      <c r="AG25" s="257">
        <f t="shared" si="62"/>
        <v>0</v>
      </c>
      <c r="AH25" s="257">
        <f t="shared" si="62"/>
        <v>0</v>
      </c>
      <c r="AI25" s="257">
        <f t="shared" si="62"/>
        <v>0</v>
      </c>
      <c r="AJ25" s="257">
        <f t="shared" si="62"/>
        <v>0</v>
      </c>
      <c r="AK25" s="257">
        <f t="shared" si="62"/>
        <v>0</v>
      </c>
      <c r="AL25" s="257">
        <f t="shared" si="62"/>
        <v>0</v>
      </c>
      <c r="AM25" s="257">
        <f t="shared" si="62"/>
        <v>0</v>
      </c>
      <c r="AN25" s="257">
        <f t="shared" si="62"/>
        <v>0</v>
      </c>
      <c r="AO25" s="257">
        <f t="shared" si="62"/>
        <v>0</v>
      </c>
      <c r="AP25" s="257">
        <f t="shared" si="62"/>
        <v>0</v>
      </c>
      <c r="AQ25" s="257">
        <f t="shared" si="62"/>
        <v>0</v>
      </c>
      <c r="AR25" s="257">
        <f t="shared" si="62"/>
        <v>0</v>
      </c>
      <c r="AS25" s="257">
        <f t="shared" si="62"/>
        <v>0</v>
      </c>
      <c r="AT25" s="257">
        <f t="shared" si="62"/>
        <v>0</v>
      </c>
      <c r="AU25" s="257">
        <f t="shared" si="62"/>
        <v>0</v>
      </c>
      <c r="AV25" s="257">
        <f t="shared" si="62"/>
        <v>0</v>
      </c>
      <c r="AW25" s="257">
        <f t="shared" si="62"/>
        <v>0</v>
      </c>
      <c r="AX25" s="257">
        <f t="shared" si="62"/>
        <v>0</v>
      </c>
      <c r="AY25" s="257">
        <f t="shared" si="62"/>
        <v>0</v>
      </c>
      <c r="AZ25" s="257">
        <f t="shared" si="62"/>
        <v>0</v>
      </c>
    </row>
    <row r="26" spans="2:52" ht="20" customHeight="1" outlineLevel="1" x14ac:dyDescent="0.25">
      <c r="B26" s="298" t="s">
        <v>168</v>
      </c>
      <c r="C26" s="255">
        <f t="shared" ref="C26:AH26" si="66">C24</f>
        <v>-39663.98486490002</v>
      </c>
      <c r="D26" s="255">
        <f t="shared" si="66"/>
        <v>-56640.221414700049</v>
      </c>
      <c r="E26" s="255">
        <f t="shared" si="66"/>
        <v>-5885.6045698800117</v>
      </c>
      <c r="F26" s="255">
        <f t="shared" si="66"/>
        <v>-396.15666644000521</v>
      </c>
      <c r="G26" s="255">
        <f t="shared" si="66"/>
        <v>1509.2577696959895</v>
      </c>
      <c r="H26" s="255">
        <f t="shared" si="66"/>
        <v>2850.3888037299125</v>
      </c>
      <c r="I26" s="255">
        <f t="shared" si="66"/>
        <v>4206.7667275734766</v>
      </c>
      <c r="J26" s="255">
        <f t="shared" si="66"/>
        <v>5578.696479022864</v>
      </c>
      <c r="K26" s="255">
        <f t="shared" si="66"/>
        <v>6966.4890946301894</v>
      </c>
      <c r="L26" s="255">
        <f t="shared" si="66"/>
        <v>8370.46183167864</v>
      </c>
      <c r="M26" s="255">
        <f t="shared" si="66"/>
        <v>9790.9382925970131</v>
      </c>
      <c r="N26" s="255">
        <f t="shared" si="66"/>
        <v>11228.248551862716</v>
      </c>
      <c r="O26" s="255">
        <f t="shared" si="66"/>
        <v>-12405.381436396652</v>
      </c>
      <c r="P26" s="255">
        <f t="shared" si="66"/>
        <v>-9795.3806510709692</v>
      </c>
      <c r="Q26" s="255">
        <f t="shared" si="66"/>
        <v>-7163.0496638995901</v>
      </c>
      <c r="R26" s="255">
        <v>-4507.9418708455778</v>
      </c>
      <c r="S26" s="255">
        <v>-1829.6017357913151</v>
      </c>
      <c r="T26" s="255">
        <v>18061.569781106624</v>
      </c>
      <c r="U26" s="254">
        <f t="shared" si="66"/>
        <v>19663.749679563967</v>
      </c>
      <c r="V26" s="254">
        <f t="shared" si="66"/>
        <v>21285.653055772833</v>
      </c>
      <c r="W26" s="254">
        <f t="shared" si="66"/>
        <v>22927.674379288292</v>
      </c>
      <c r="X26" s="254">
        <f t="shared" si="66"/>
        <v>24590.216009056472</v>
      </c>
      <c r="Y26" s="254">
        <f t="shared" si="66"/>
        <v>26273.688351202392</v>
      </c>
      <c r="Z26" s="254">
        <f t="shared" si="66"/>
        <v>27978.510019973648</v>
      </c>
      <c r="AA26" s="254">
        <f t="shared" si="66"/>
        <v>29705.10800190271</v>
      </c>
      <c r="AB26" s="254">
        <f t="shared" si="66"/>
        <v>31453.917823252756</v>
      </c>
      <c r="AC26" s="254">
        <f t="shared" si="66"/>
        <v>33225.383720812228</v>
      </c>
      <c r="AD26" s="254">
        <f t="shared" si="66"/>
        <v>35019.958816105267</v>
      </c>
      <c r="AE26" s="254">
        <f t="shared" si="66"/>
        <v>36838.10529308657</v>
      </c>
      <c r="AF26" s="254">
        <f t="shared" si="66"/>
        <v>38680.294579389898</v>
      </c>
      <c r="AG26" s="254">
        <f t="shared" si="66"/>
        <v>40547.007531201685</v>
      </c>
      <c r="AH26" s="254">
        <f t="shared" si="66"/>
        <v>42438.734621832133</v>
      </c>
      <c r="AI26" s="254">
        <f t="shared" ref="AI26:AZ26" si="67">AI24</f>
        <v>30991.112963959418</v>
      </c>
      <c r="AJ26" s="254">
        <f t="shared" si="67"/>
        <v>31600.935223238612</v>
      </c>
      <c r="AK26" s="254">
        <f t="shared" si="67"/>
        <v>32222.953927703387</v>
      </c>
      <c r="AL26" s="254">
        <f t="shared" si="67"/>
        <v>32857.413006257455</v>
      </c>
      <c r="AM26" s="254">
        <f t="shared" si="67"/>
        <v>33504.561266382596</v>
      </c>
      <c r="AN26" s="254">
        <f t="shared" si="67"/>
        <v>34164.652491710251</v>
      </c>
      <c r="AO26" s="254">
        <f t="shared" si="67"/>
        <v>34837.945541544461</v>
      </c>
      <c r="AP26" s="254">
        <f t="shared" si="67"/>
        <v>35524.70445237535</v>
      </c>
      <c r="AQ26" s="254">
        <f t="shared" si="67"/>
        <v>36225.198541422847</v>
      </c>
      <c r="AR26" s="254">
        <f t="shared" si="67"/>
        <v>36939.702512251315</v>
      </c>
      <c r="AS26" s="254">
        <f t="shared" si="67"/>
        <v>37668.496562496337</v>
      </c>
      <c r="AT26" s="254">
        <f t="shared" si="67"/>
        <v>38411.86649374626</v>
      </c>
      <c r="AU26" s="254">
        <f t="shared" si="67"/>
        <v>39170.10382362119</v>
      </c>
      <c r="AV26" s="254">
        <f t="shared" si="67"/>
        <v>39943.505900093623</v>
      </c>
      <c r="AW26" s="254">
        <f t="shared" si="67"/>
        <v>40732.376018095485</v>
      </c>
      <c r="AX26" s="254">
        <f t="shared" si="67"/>
        <v>41537.023538457404</v>
      </c>
      <c r="AY26" s="254">
        <f t="shared" si="67"/>
        <v>42357.764009226536</v>
      </c>
      <c r="AZ26" s="254">
        <f t="shared" si="67"/>
        <v>43194.919289411067</v>
      </c>
    </row>
    <row r="27" spans="2:52" ht="20" customHeight="1" outlineLevel="1" x14ac:dyDescent="0.25">
      <c r="B27" s="256" t="s">
        <v>163</v>
      </c>
      <c r="C27" s="257">
        <f>C26-C24</f>
        <v>0</v>
      </c>
      <c r="D27" s="257">
        <f t="shared" si="62"/>
        <v>0</v>
      </c>
      <c r="E27" s="257">
        <f t="shared" si="62"/>
        <v>0</v>
      </c>
      <c r="F27" s="257">
        <f t="shared" si="62"/>
        <v>0</v>
      </c>
      <c r="G27" s="257">
        <f t="shared" si="62"/>
        <v>0</v>
      </c>
      <c r="H27" s="257">
        <f t="shared" si="62"/>
        <v>0</v>
      </c>
      <c r="I27" s="257">
        <f t="shared" si="62"/>
        <v>0</v>
      </c>
      <c r="J27" s="257">
        <f t="shared" si="62"/>
        <v>0</v>
      </c>
      <c r="K27" s="257">
        <f t="shared" si="62"/>
        <v>0</v>
      </c>
      <c r="L27" s="257">
        <f t="shared" si="62"/>
        <v>0</v>
      </c>
      <c r="M27" s="257">
        <f t="shared" si="62"/>
        <v>0</v>
      </c>
      <c r="N27" s="257">
        <f t="shared" si="62"/>
        <v>0</v>
      </c>
      <c r="O27" s="257">
        <f t="shared" si="62"/>
        <v>0</v>
      </c>
      <c r="P27" s="257">
        <f t="shared" si="62"/>
        <v>0</v>
      </c>
      <c r="Q27" s="257">
        <f t="shared" si="62"/>
        <v>0</v>
      </c>
      <c r="R27" s="257">
        <f t="shared" si="62"/>
        <v>25451.837670370005</v>
      </c>
      <c r="S27" s="257">
        <f t="shared" si="62"/>
        <v>24689.945140790012</v>
      </c>
      <c r="T27" s="257">
        <f t="shared" si="62"/>
        <v>0</v>
      </c>
      <c r="U27" s="257">
        <f t="shared" si="62"/>
        <v>0</v>
      </c>
      <c r="V27" s="257">
        <f t="shared" si="62"/>
        <v>0</v>
      </c>
      <c r="W27" s="257">
        <f t="shared" si="62"/>
        <v>0</v>
      </c>
      <c r="X27" s="257">
        <f t="shared" si="62"/>
        <v>0</v>
      </c>
      <c r="Y27" s="257">
        <f t="shared" si="62"/>
        <v>0</v>
      </c>
      <c r="Z27" s="257">
        <f t="shared" si="62"/>
        <v>0</v>
      </c>
      <c r="AA27" s="257">
        <f t="shared" si="62"/>
        <v>0</v>
      </c>
      <c r="AB27" s="257">
        <f t="shared" si="62"/>
        <v>0</v>
      </c>
      <c r="AC27" s="257">
        <f t="shared" si="62"/>
        <v>0</v>
      </c>
      <c r="AD27" s="257">
        <f t="shared" si="62"/>
        <v>0</v>
      </c>
      <c r="AE27" s="257">
        <f t="shared" si="62"/>
        <v>0</v>
      </c>
      <c r="AF27" s="257">
        <f t="shared" si="62"/>
        <v>0</v>
      </c>
      <c r="AG27" s="257">
        <f t="shared" si="62"/>
        <v>0</v>
      </c>
      <c r="AH27" s="257">
        <f t="shared" si="62"/>
        <v>0</v>
      </c>
      <c r="AI27" s="257">
        <f t="shared" si="62"/>
        <v>0</v>
      </c>
      <c r="AJ27" s="257">
        <f t="shared" si="62"/>
        <v>0</v>
      </c>
      <c r="AK27" s="257">
        <f t="shared" si="62"/>
        <v>0</v>
      </c>
      <c r="AL27" s="257">
        <f t="shared" si="62"/>
        <v>0</v>
      </c>
      <c r="AM27" s="257">
        <f t="shared" si="62"/>
        <v>0</v>
      </c>
      <c r="AN27" s="257">
        <f t="shared" si="62"/>
        <v>0</v>
      </c>
      <c r="AO27" s="257">
        <f t="shared" si="62"/>
        <v>0</v>
      </c>
      <c r="AP27" s="257">
        <f t="shared" si="62"/>
        <v>0</v>
      </c>
      <c r="AQ27" s="257">
        <f t="shared" si="62"/>
        <v>0</v>
      </c>
      <c r="AR27" s="257">
        <f t="shared" si="62"/>
        <v>0</v>
      </c>
      <c r="AS27" s="257">
        <f t="shared" si="62"/>
        <v>0</v>
      </c>
      <c r="AT27" s="257">
        <f t="shared" si="62"/>
        <v>0</v>
      </c>
      <c r="AU27" s="257">
        <f t="shared" si="62"/>
        <v>0</v>
      </c>
      <c r="AV27" s="257">
        <f t="shared" si="62"/>
        <v>0</v>
      </c>
      <c r="AW27" s="257">
        <f t="shared" si="62"/>
        <v>0</v>
      </c>
      <c r="AX27" s="257">
        <f t="shared" si="62"/>
        <v>0</v>
      </c>
      <c r="AY27" s="257">
        <f t="shared" si="62"/>
        <v>0</v>
      </c>
      <c r="AZ27" s="257">
        <f t="shared" si="62"/>
        <v>0</v>
      </c>
    </row>
    <row r="28" spans="2:52" ht="20" customHeight="1" outlineLevel="1" x14ac:dyDescent="0.25">
      <c r="B28" s="298" t="s">
        <v>169</v>
      </c>
      <c r="C28" s="255">
        <f t="shared" ref="C28:AH28" si="68">C26</f>
        <v>-39663.98486490002</v>
      </c>
      <c r="D28" s="255">
        <f t="shared" si="68"/>
        <v>-56640.221414700049</v>
      </c>
      <c r="E28" s="255">
        <f t="shared" si="68"/>
        <v>-5885.6045698800117</v>
      </c>
      <c r="F28" s="255">
        <f t="shared" si="68"/>
        <v>-396.15666644000521</v>
      </c>
      <c r="G28" s="255">
        <f t="shared" si="68"/>
        <v>1509.2577696959895</v>
      </c>
      <c r="H28" s="255">
        <f t="shared" si="68"/>
        <v>2850.3888037299125</v>
      </c>
      <c r="I28" s="255">
        <f t="shared" si="68"/>
        <v>4206.7667275734766</v>
      </c>
      <c r="J28" s="255">
        <f t="shared" si="68"/>
        <v>5578.696479022864</v>
      </c>
      <c r="K28" s="255">
        <f t="shared" si="68"/>
        <v>6966.4890946301894</v>
      </c>
      <c r="L28" s="255">
        <f t="shared" si="68"/>
        <v>8370.46183167864</v>
      </c>
      <c r="M28" s="255">
        <f t="shared" si="68"/>
        <v>9790.9382925970131</v>
      </c>
      <c r="N28" s="255">
        <f t="shared" si="68"/>
        <v>11228.248551862716</v>
      </c>
      <c r="O28" s="255">
        <f t="shared" si="68"/>
        <v>-12405.381436396652</v>
      </c>
      <c r="P28" s="255">
        <f t="shared" si="68"/>
        <v>-9795.3806510709692</v>
      </c>
      <c r="Q28" s="255">
        <f t="shared" si="68"/>
        <v>-7163.0496638995901</v>
      </c>
      <c r="R28" s="255">
        <f t="shared" si="68"/>
        <v>-4507.9418708455778</v>
      </c>
      <c r="S28" s="255">
        <f t="shared" si="68"/>
        <v>-1829.6017357913151</v>
      </c>
      <c r="T28" s="255">
        <f t="shared" si="68"/>
        <v>18061.569781106624</v>
      </c>
      <c r="U28" s="255">
        <v>19663.749679563967</v>
      </c>
      <c r="V28" s="255">
        <v>21285.653055772833</v>
      </c>
      <c r="W28" s="255">
        <v>22927.674379288292</v>
      </c>
      <c r="X28" s="254">
        <f t="shared" si="68"/>
        <v>24590.216009056472</v>
      </c>
      <c r="Y28" s="254">
        <f t="shared" si="68"/>
        <v>26273.688351202392</v>
      </c>
      <c r="Z28" s="254">
        <f t="shared" si="68"/>
        <v>27978.510019973648</v>
      </c>
      <c r="AA28" s="254">
        <f t="shared" si="68"/>
        <v>29705.10800190271</v>
      </c>
      <c r="AB28" s="254">
        <f t="shared" si="68"/>
        <v>31453.917823252756</v>
      </c>
      <c r="AC28" s="254">
        <f t="shared" si="68"/>
        <v>33225.383720812228</v>
      </c>
      <c r="AD28" s="254">
        <f t="shared" si="68"/>
        <v>35019.958816105267</v>
      </c>
      <c r="AE28" s="254">
        <f t="shared" si="68"/>
        <v>36838.10529308657</v>
      </c>
      <c r="AF28" s="254">
        <f t="shared" si="68"/>
        <v>38680.294579389898</v>
      </c>
      <c r="AG28" s="254">
        <f t="shared" si="68"/>
        <v>40547.007531201685</v>
      </c>
      <c r="AH28" s="254">
        <f t="shared" si="68"/>
        <v>42438.734621832133</v>
      </c>
      <c r="AI28" s="254">
        <f t="shared" ref="AI28:AZ28" si="69">AI26</f>
        <v>30991.112963959418</v>
      </c>
      <c r="AJ28" s="254">
        <f t="shared" si="69"/>
        <v>31600.935223238612</v>
      </c>
      <c r="AK28" s="254">
        <f t="shared" si="69"/>
        <v>32222.953927703387</v>
      </c>
      <c r="AL28" s="254">
        <f t="shared" si="69"/>
        <v>32857.413006257455</v>
      </c>
      <c r="AM28" s="254">
        <f t="shared" si="69"/>
        <v>33504.561266382596</v>
      </c>
      <c r="AN28" s="254">
        <f t="shared" si="69"/>
        <v>34164.652491710251</v>
      </c>
      <c r="AO28" s="254">
        <f t="shared" si="69"/>
        <v>34837.945541544461</v>
      </c>
      <c r="AP28" s="254">
        <f t="shared" si="69"/>
        <v>35524.70445237535</v>
      </c>
      <c r="AQ28" s="254">
        <f t="shared" si="69"/>
        <v>36225.198541422847</v>
      </c>
      <c r="AR28" s="254">
        <f t="shared" si="69"/>
        <v>36939.702512251315</v>
      </c>
      <c r="AS28" s="254">
        <f t="shared" si="69"/>
        <v>37668.496562496337</v>
      </c>
      <c r="AT28" s="254">
        <f t="shared" si="69"/>
        <v>38411.86649374626</v>
      </c>
      <c r="AU28" s="254">
        <f t="shared" si="69"/>
        <v>39170.10382362119</v>
      </c>
      <c r="AV28" s="254">
        <f t="shared" si="69"/>
        <v>39943.505900093623</v>
      </c>
      <c r="AW28" s="254">
        <f t="shared" si="69"/>
        <v>40732.376018095485</v>
      </c>
      <c r="AX28" s="254">
        <f t="shared" si="69"/>
        <v>41537.023538457404</v>
      </c>
      <c r="AY28" s="254">
        <f t="shared" si="69"/>
        <v>42357.764009226536</v>
      </c>
      <c r="AZ28" s="254">
        <f t="shared" si="69"/>
        <v>43194.919289411067</v>
      </c>
    </row>
    <row r="29" spans="2:52" ht="20" customHeight="1" outlineLevel="1" x14ac:dyDescent="0.25">
      <c r="B29" s="256" t="s">
        <v>163</v>
      </c>
      <c r="C29" s="257">
        <f>C28-C26</f>
        <v>0</v>
      </c>
      <c r="D29" s="257">
        <f t="shared" si="62"/>
        <v>0</v>
      </c>
      <c r="E29" s="257">
        <f t="shared" si="62"/>
        <v>0</v>
      </c>
      <c r="F29" s="257">
        <f t="shared" si="62"/>
        <v>0</v>
      </c>
      <c r="G29" s="257">
        <f t="shared" si="62"/>
        <v>0</v>
      </c>
      <c r="H29" s="257">
        <f t="shared" si="62"/>
        <v>0</v>
      </c>
      <c r="I29" s="257">
        <f t="shared" si="62"/>
        <v>0</v>
      </c>
      <c r="J29" s="257">
        <f t="shared" si="62"/>
        <v>0</v>
      </c>
      <c r="K29" s="257">
        <f t="shared" si="62"/>
        <v>0</v>
      </c>
      <c r="L29" s="257">
        <f t="shared" si="62"/>
        <v>0</v>
      </c>
      <c r="M29" s="257">
        <f t="shared" si="62"/>
        <v>0</v>
      </c>
      <c r="N29" s="257">
        <f t="shared" si="62"/>
        <v>0</v>
      </c>
      <c r="O29" s="257">
        <f t="shared" si="62"/>
        <v>0</v>
      </c>
      <c r="P29" s="257">
        <f t="shared" si="62"/>
        <v>0</v>
      </c>
      <c r="Q29" s="257">
        <f t="shared" si="62"/>
        <v>0</v>
      </c>
      <c r="R29" s="257">
        <f t="shared" si="62"/>
        <v>0</v>
      </c>
      <c r="S29" s="257">
        <f t="shared" si="62"/>
        <v>0</v>
      </c>
      <c r="T29" s="257">
        <f t="shared" si="62"/>
        <v>0</v>
      </c>
      <c r="U29" s="257">
        <f t="shared" si="62"/>
        <v>0</v>
      </c>
      <c r="V29" s="257">
        <f t="shared" si="62"/>
        <v>0</v>
      </c>
      <c r="W29" s="257">
        <f t="shared" si="62"/>
        <v>0</v>
      </c>
      <c r="X29" s="257">
        <f t="shared" si="62"/>
        <v>0</v>
      </c>
      <c r="Y29" s="257">
        <f t="shared" si="62"/>
        <v>0</v>
      </c>
      <c r="Z29" s="257">
        <f t="shared" si="62"/>
        <v>0</v>
      </c>
      <c r="AA29" s="257">
        <f t="shared" si="62"/>
        <v>0</v>
      </c>
      <c r="AB29" s="257">
        <f t="shared" si="62"/>
        <v>0</v>
      </c>
      <c r="AC29" s="257">
        <f t="shared" si="62"/>
        <v>0</v>
      </c>
      <c r="AD29" s="257">
        <f t="shared" si="62"/>
        <v>0</v>
      </c>
      <c r="AE29" s="257">
        <f t="shared" si="62"/>
        <v>0</v>
      </c>
      <c r="AF29" s="257">
        <f t="shared" si="62"/>
        <v>0</v>
      </c>
      <c r="AG29" s="257">
        <f t="shared" si="62"/>
        <v>0</v>
      </c>
      <c r="AH29" s="257">
        <f t="shared" si="62"/>
        <v>0</v>
      </c>
      <c r="AI29" s="257">
        <f t="shared" si="62"/>
        <v>0</v>
      </c>
      <c r="AJ29" s="257">
        <f t="shared" si="62"/>
        <v>0</v>
      </c>
      <c r="AK29" s="257">
        <f t="shared" si="62"/>
        <v>0</v>
      </c>
      <c r="AL29" s="257">
        <f t="shared" si="62"/>
        <v>0</v>
      </c>
      <c r="AM29" s="257">
        <f t="shared" si="62"/>
        <v>0</v>
      </c>
      <c r="AN29" s="257">
        <f t="shared" si="62"/>
        <v>0</v>
      </c>
      <c r="AO29" s="257">
        <f t="shared" si="62"/>
        <v>0</v>
      </c>
      <c r="AP29" s="257">
        <f t="shared" si="62"/>
        <v>0</v>
      </c>
      <c r="AQ29" s="257">
        <f t="shared" si="62"/>
        <v>0</v>
      </c>
      <c r="AR29" s="257">
        <f t="shared" si="62"/>
        <v>0</v>
      </c>
      <c r="AS29" s="257">
        <f t="shared" si="62"/>
        <v>0</v>
      </c>
      <c r="AT29" s="257">
        <f t="shared" si="62"/>
        <v>0</v>
      </c>
      <c r="AU29" s="257">
        <f t="shared" si="62"/>
        <v>0</v>
      </c>
      <c r="AV29" s="257">
        <f t="shared" si="62"/>
        <v>0</v>
      </c>
      <c r="AW29" s="257">
        <f t="shared" si="62"/>
        <v>0</v>
      </c>
      <c r="AX29" s="257">
        <f t="shared" si="62"/>
        <v>0</v>
      </c>
      <c r="AY29" s="257">
        <f t="shared" si="62"/>
        <v>0</v>
      </c>
      <c r="AZ29" s="257">
        <f t="shared" si="62"/>
        <v>0</v>
      </c>
    </row>
    <row r="30" spans="2:52" ht="20" customHeight="1" outlineLevel="1" x14ac:dyDescent="0.25">
      <c r="B30" s="298" t="s">
        <v>170</v>
      </c>
      <c r="C30" s="255">
        <f t="shared" ref="C30:AH30" si="70">C28</f>
        <v>-39663.98486490002</v>
      </c>
      <c r="D30" s="255">
        <f t="shared" si="70"/>
        <v>-56640.221414700049</v>
      </c>
      <c r="E30" s="255">
        <f t="shared" si="70"/>
        <v>-5885.6045698800117</v>
      </c>
      <c r="F30" s="255">
        <f t="shared" si="70"/>
        <v>-396.15666644000521</v>
      </c>
      <c r="G30" s="255">
        <f t="shared" si="70"/>
        <v>1509.2577696959895</v>
      </c>
      <c r="H30" s="255">
        <f t="shared" si="70"/>
        <v>2850.3888037299125</v>
      </c>
      <c r="I30" s="255">
        <f t="shared" si="70"/>
        <v>4206.7667275734766</v>
      </c>
      <c r="J30" s="255">
        <f t="shared" si="70"/>
        <v>5578.696479022864</v>
      </c>
      <c r="K30" s="255">
        <f t="shared" si="70"/>
        <v>6966.4890946301894</v>
      </c>
      <c r="L30" s="255">
        <f t="shared" si="70"/>
        <v>8370.46183167864</v>
      </c>
      <c r="M30" s="255">
        <f t="shared" si="70"/>
        <v>9790.9382925970131</v>
      </c>
      <c r="N30" s="255">
        <f t="shared" si="70"/>
        <v>11228.248551862716</v>
      </c>
      <c r="O30" s="255">
        <f t="shared" si="70"/>
        <v>-12405.381436396652</v>
      </c>
      <c r="P30" s="255">
        <f t="shared" si="70"/>
        <v>-9795.3806510709692</v>
      </c>
      <c r="Q30" s="255">
        <f t="shared" si="70"/>
        <v>-7163.0496638995901</v>
      </c>
      <c r="R30" s="255">
        <f t="shared" si="70"/>
        <v>-4507.9418708455778</v>
      </c>
      <c r="S30" s="255">
        <f t="shared" si="70"/>
        <v>-1829.6017357913151</v>
      </c>
      <c r="T30" s="255">
        <f t="shared" si="70"/>
        <v>18061.569781106624</v>
      </c>
      <c r="U30" s="255">
        <f t="shared" si="70"/>
        <v>19663.749679563967</v>
      </c>
      <c r="V30" s="255">
        <f t="shared" si="70"/>
        <v>21285.653055772833</v>
      </c>
      <c r="W30" s="255">
        <f t="shared" si="70"/>
        <v>22927.674379288292</v>
      </c>
      <c r="X30" s="255">
        <v>24590.216009056472</v>
      </c>
      <c r="Y30" s="255">
        <v>26273.688351202392</v>
      </c>
      <c r="Z30" s="255">
        <v>27978.510019973648</v>
      </c>
      <c r="AA30" s="254">
        <f t="shared" si="70"/>
        <v>29705.10800190271</v>
      </c>
      <c r="AB30" s="254">
        <f t="shared" si="70"/>
        <v>31453.917823252756</v>
      </c>
      <c r="AC30" s="254">
        <f t="shared" si="70"/>
        <v>33225.383720812228</v>
      </c>
      <c r="AD30" s="254">
        <f t="shared" si="70"/>
        <v>35019.958816105267</v>
      </c>
      <c r="AE30" s="254">
        <f t="shared" si="70"/>
        <v>36838.10529308657</v>
      </c>
      <c r="AF30" s="254">
        <f t="shared" si="70"/>
        <v>38680.294579389898</v>
      </c>
      <c r="AG30" s="254">
        <f t="shared" si="70"/>
        <v>40547.007531201685</v>
      </c>
      <c r="AH30" s="254">
        <f t="shared" si="70"/>
        <v>42438.734621832133</v>
      </c>
      <c r="AI30" s="254">
        <f t="shared" ref="AI30:AZ30" si="71">AI28</f>
        <v>30991.112963959418</v>
      </c>
      <c r="AJ30" s="254">
        <f t="shared" si="71"/>
        <v>31600.935223238612</v>
      </c>
      <c r="AK30" s="254">
        <f t="shared" si="71"/>
        <v>32222.953927703387</v>
      </c>
      <c r="AL30" s="254">
        <f t="shared" si="71"/>
        <v>32857.413006257455</v>
      </c>
      <c r="AM30" s="254">
        <f t="shared" si="71"/>
        <v>33504.561266382596</v>
      </c>
      <c r="AN30" s="254">
        <f t="shared" si="71"/>
        <v>34164.652491710251</v>
      </c>
      <c r="AO30" s="254">
        <f t="shared" si="71"/>
        <v>34837.945541544461</v>
      </c>
      <c r="AP30" s="254">
        <f t="shared" si="71"/>
        <v>35524.70445237535</v>
      </c>
      <c r="AQ30" s="254">
        <f t="shared" si="71"/>
        <v>36225.198541422847</v>
      </c>
      <c r="AR30" s="254">
        <f t="shared" si="71"/>
        <v>36939.702512251315</v>
      </c>
      <c r="AS30" s="254">
        <f t="shared" si="71"/>
        <v>37668.496562496337</v>
      </c>
      <c r="AT30" s="254">
        <f t="shared" si="71"/>
        <v>38411.86649374626</v>
      </c>
      <c r="AU30" s="254">
        <f t="shared" si="71"/>
        <v>39170.10382362119</v>
      </c>
      <c r="AV30" s="254">
        <f t="shared" si="71"/>
        <v>39943.505900093623</v>
      </c>
      <c r="AW30" s="254">
        <f t="shared" si="71"/>
        <v>40732.376018095485</v>
      </c>
      <c r="AX30" s="254">
        <f t="shared" si="71"/>
        <v>41537.023538457404</v>
      </c>
      <c r="AY30" s="254">
        <f t="shared" si="71"/>
        <v>42357.764009226536</v>
      </c>
      <c r="AZ30" s="254">
        <f t="shared" si="71"/>
        <v>43194.919289411067</v>
      </c>
    </row>
    <row r="31" spans="2:52" ht="20" customHeight="1" outlineLevel="1" x14ac:dyDescent="0.25">
      <c r="B31" s="256" t="s">
        <v>163</v>
      </c>
      <c r="C31" s="257">
        <f>C30-C28</f>
        <v>0</v>
      </c>
      <c r="D31" s="257">
        <f t="shared" si="62"/>
        <v>0</v>
      </c>
      <c r="E31" s="257">
        <f t="shared" si="62"/>
        <v>0</v>
      </c>
      <c r="F31" s="257">
        <f t="shared" si="62"/>
        <v>0</v>
      </c>
      <c r="G31" s="257">
        <f t="shared" si="62"/>
        <v>0</v>
      </c>
      <c r="H31" s="257">
        <f t="shared" si="62"/>
        <v>0</v>
      </c>
      <c r="I31" s="257">
        <f t="shared" si="62"/>
        <v>0</v>
      </c>
      <c r="J31" s="257">
        <f t="shared" si="62"/>
        <v>0</v>
      </c>
      <c r="K31" s="257">
        <f t="shared" si="62"/>
        <v>0</v>
      </c>
      <c r="L31" s="257">
        <f t="shared" si="62"/>
        <v>0</v>
      </c>
      <c r="M31" s="257">
        <f t="shared" si="62"/>
        <v>0</v>
      </c>
      <c r="N31" s="257">
        <f t="shared" ref="N31:AZ43" si="72">N30-N28</f>
        <v>0</v>
      </c>
      <c r="O31" s="257">
        <f t="shared" si="72"/>
        <v>0</v>
      </c>
      <c r="P31" s="257">
        <f t="shared" si="72"/>
        <v>0</v>
      </c>
      <c r="Q31" s="257">
        <f t="shared" si="72"/>
        <v>0</v>
      </c>
      <c r="R31" s="257">
        <f t="shared" si="72"/>
        <v>0</v>
      </c>
      <c r="S31" s="257">
        <f t="shared" si="72"/>
        <v>0</v>
      </c>
      <c r="T31" s="257">
        <f t="shared" si="72"/>
        <v>0</v>
      </c>
      <c r="U31" s="257">
        <f t="shared" si="72"/>
        <v>0</v>
      </c>
      <c r="V31" s="257">
        <f t="shared" si="72"/>
        <v>0</v>
      </c>
      <c r="W31" s="257">
        <f t="shared" si="72"/>
        <v>0</v>
      </c>
      <c r="X31" s="257">
        <f t="shared" si="72"/>
        <v>0</v>
      </c>
      <c r="Y31" s="257">
        <f t="shared" si="72"/>
        <v>0</v>
      </c>
      <c r="Z31" s="257">
        <f t="shared" si="72"/>
        <v>0</v>
      </c>
      <c r="AA31" s="257">
        <f t="shared" si="72"/>
        <v>0</v>
      </c>
      <c r="AB31" s="257">
        <f t="shared" si="72"/>
        <v>0</v>
      </c>
      <c r="AC31" s="257">
        <f t="shared" si="72"/>
        <v>0</v>
      </c>
      <c r="AD31" s="257">
        <f t="shared" si="72"/>
        <v>0</v>
      </c>
      <c r="AE31" s="257">
        <f t="shared" si="72"/>
        <v>0</v>
      </c>
      <c r="AF31" s="257">
        <f t="shared" si="72"/>
        <v>0</v>
      </c>
      <c r="AG31" s="257">
        <f t="shared" si="72"/>
        <v>0</v>
      </c>
      <c r="AH31" s="257">
        <f t="shared" si="72"/>
        <v>0</v>
      </c>
      <c r="AI31" s="257">
        <f t="shared" si="72"/>
        <v>0</v>
      </c>
      <c r="AJ31" s="257">
        <f t="shared" si="72"/>
        <v>0</v>
      </c>
      <c r="AK31" s="257">
        <f t="shared" si="72"/>
        <v>0</v>
      </c>
      <c r="AL31" s="257">
        <f t="shared" si="72"/>
        <v>0</v>
      </c>
      <c r="AM31" s="257">
        <f t="shared" si="72"/>
        <v>0</v>
      </c>
      <c r="AN31" s="257">
        <f t="shared" si="72"/>
        <v>0</v>
      </c>
      <c r="AO31" s="257">
        <f t="shared" si="72"/>
        <v>0</v>
      </c>
      <c r="AP31" s="257">
        <f t="shared" si="72"/>
        <v>0</v>
      </c>
      <c r="AQ31" s="257">
        <f t="shared" si="72"/>
        <v>0</v>
      </c>
      <c r="AR31" s="257">
        <f t="shared" si="72"/>
        <v>0</v>
      </c>
      <c r="AS31" s="257">
        <f t="shared" si="72"/>
        <v>0</v>
      </c>
      <c r="AT31" s="257">
        <f t="shared" si="72"/>
        <v>0</v>
      </c>
      <c r="AU31" s="257">
        <f t="shared" si="72"/>
        <v>0</v>
      </c>
      <c r="AV31" s="257">
        <f t="shared" si="72"/>
        <v>0</v>
      </c>
      <c r="AW31" s="257">
        <f t="shared" si="72"/>
        <v>0</v>
      </c>
      <c r="AX31" s="257">
        <f t="shared" si="72"/>
        <v>0</v>
      </c>
      <c r="AY31" s="257">
        <f t="shared" si="72"/>
        <v>0</v>
      </c>
      <c r="AZ31" s="257">
        <f t="shared" si="72"/>
        <v>0</v>
      </c>
    </row>
    <row r="32" spans="2:52" ht="20" customHeight="1" outlineLevel="1" x14ac:dyDescent="0.25">
      <c r="B32" s="298" t="s">
        <v>171</v>
      </c>
      <c r="C32" s="255">
        <f t="shared" ref="C32:AH32" si="73">C30</f>
        <v>-39663.98486490002</v>
      </c>
      <c r="D32" s="255">
        <f t="shared" si="73"/>
        <v>-56640.221414700049</v>
      </c>
      <c r="E32" s="255">
        <f t="shared" si="73"/>
        <v>-5885.6045698800117</v>
      </c>
      <c r="F32" s="255">
        <f t="shared" si="73"/>
        <v>-396.15666644000521</v>
      </c>
      <c r="G32" s="255">
        <f t="shared" si="73"/>
        <v>1509.2577696959895</v>
      </c>
      <c r="H32" s="255">
        <f t="shared" si="73"/>
        <v>2850.3888037299125</v>
      </c>
      <c r="I32" s="255">
        <f t="shared" si="73"/>
        <v>4206.7667275734766</v>
      </c>
      <c r="J32" s="255">
        <f t="shared" si="73"/>
        <v>5578.696479022864</v>
      </c>
      <c r="K32" s="255">
        <f t="shared" si="73"/>
        <v>6966.4890946301894</v>
      </c>
      <c r="L32" s="255">
        <f t="shared" si="73"/>
        <v>8370.46183167864</v>
      </c>
      <c r="M32" s="255">
        <f t="shared" si="73"/>
        <v>9790.9382925970131</v>
      </c>
      <c r="N32" s="255">
        <f t="shared" si="73"/>
        <v>11228.248551862716</v>
      </c>
      <c r="O32" s="255">
        <f t="shared" si="73"/>
        <v>-12405.381436396652</v>
      </c>
      <c r="P32" s="255">
        <f t="shared" si="73"/>
        <v>-9795.3806510709692</v>
      </c>
      <c r="Q32" s="255">
        <f t="shared" si="73"/>
        <v>-7163.0496638995901</v>
      </c>
      <c r="R32" s="255">
        <f t="shared" si="73"/>
        <v>-4507.9418708455778</v>
      </c>
      <c r="S32" s="255">
        <f t="shared" si="73"/>
        <v>-1829.6017357913151</v>
      </c>
      <c r="T32" s="255">
        <f t="shared" si="73"/>
        <v>18061.569781106624</v>
      </c>
      <c r="U32" s="255">
        <f t="shared" si="73"/>
        <v>19663.749679563967</v>
      </c>
      <c r="V32" s="255">
        <f t="shared" si="73"/>
        <v>21285.653055772833</v>
      </c>
      <c r="W32" s="255">
        <f t="shared" si="73"/>
        <v>22927.674379288292</v>
      </c>
      <c r="X32" s="255">
        <f t="shared" si="73"/>
        <v>24590.216009056472</v>
      </c>
      <c r="Y32" s="255">
        <f t="shared" si="73"/>
        <v>26273.688351202392</v>
      </c>
      <c r="Z32" s="255">
        <f t="shared" si="73"/>
        <v>27978.510019973648</v>
      </c>
      <c r="AA32" s="255">
        <v>29705.10800190271</v>
      </c>
      <c r="AB32" s="255">
        <v>31453.917823252756</v>
      </c>
      <c r="AC32" s="255">
        <v>33225.383720812228</v>
      </c>
      <c r="AD32" s="254">
        <f t="shared" si="73"/>
        <v>35019.958816105267</v>
      </c>
      <c r="AE32" s="254">
        <f t="shared" si="73"/>
        <v>36838.10529308657</v>
      </c>
      <c r="AF32" s="254">
        <f t="shared" si="73"/>
        <v>38680.294579389898</v>
      </c>
      <c r="AG32" s="254">
        <f t="shared" si="73"/>
        <v>40547.007531201685</v>
      </c>
      <c r="AH32" s="254">
        <f t="shared" si="73"/>
        <v>42438.734621832133</v>
      </c>
      <c r="AI32" s="254">
        <f t="shared" ref="AI32:AZ32" si="74">AI30</f>
        <v>30991.112963959418</v>
      </c>
      <c r="AJ32" s="254">
        <f t="shared" si="74"/>
        <v>31600.935223238612</v>
      </c>
      <c r="AK32" s="254">
        <f t="shared" si="74"/>
        <v>32222.953927703387</v>
      </c>
      <c r="AL32" s="254">
        <f t="shared" si="74"/>
        <v>32857.413006257455</v>
      </c>
      <c r="AM32" s="254">
        <f t="shared" si="74"/>
        <v>33504.561266382596</v>
      </c>
      <c r="AN32" s="254">
        <f t="shared" si="74"/>
        <v>34164.652491710251</v>
      </c>
      <c r="AO32" s="254">
        <f t="shared" si="74"/>
        <v>34837.945541544461</v>
      </c>
      <c r="AP32" s="254">
        <f t="shared" si="74"/>
        <v>35524.70445237535</v>
      </c>
      <c r="AQ32" s="254">
        <f t="shared" si="74"/>
        <v>36225.198541422847</v>
      </c>
      <c r="AR32" s="254">
        <f t="shared" si="74"/>
        <v>36939.702512251315</v>
      </c>
      <c r="AS32" s="254">
        <f t="shared" si="74"/>
        <v>37668.496562496337</v>
      </c>
      <c r="AT32" s="254">
        <f t="shared" si="74"/>
        <v>38411.86649374626</v>
      </c>
      <c r="AU32" s="254">
        <f t="shared" si="74"/>
        <v>39170.10382362119</v>
      </c>
      <c r="AV32" s="254">
        <f t="shared" si="74"/>
        <v>39943.505900093623</v>
      </c>
      <c r="AW32" s="254">
        <f t="shared" si="74"/>
        <v>40732.376018095485</v>
      </c>
      <c r="AX32" s="254">
        <f t="shared" si="74"/>
        <v>41537.023538457404</v>
      </c>
      <c r="AY32" s="254">
        <f t="shared" si="74"/>
        <v>42357.764009226536</v>
      </c>
      <c r="AZ32" s="254">
        <f t="shared" si="74"/>
        <v>43194.919289411067</v>
      </c>
    </row>
    <row r="33" spans="2:52" ht="20" customHeight="1" outlineLevel="1" x14ac:dyDescent="0.25">
      <c r="B33" s="256" t="s">
        <v>163</v>
      </c>
      <c r="C33" s="257">
        <f>C32-C30</f>
        <v>0</v>
      </c>
      <c r="D33" s="257">
        <f t="shared" si="62"/>
        <v>0</v>
      </c>
      <c r="E33" s="257">
        <f t="shared" si="62"/>
        <v>0</v>
      </c>
      <c r="F33" s="257">
        <f t="shared" si="62"/>
        <v>0</v>
      </c>
      <c r="G33" s="257">
        <f t="shared" si="62"/>
        <v>0</v>
      </c>
      <c r="H33" s="257">
        <f t="shared" si="62"/>
        <v>0</v>
      </c>
      <c r="I33" s="257">
        <f t="shared" si="62"/>
        <v>0</v>
      </c>
      <c r="J33" s="257">
        <f t="shared" si="62"/>
        <v>0</v>
      </c>
      <c r="K33" s="257">
        <f t="shared" si="62"/>
        <v>0</v>
      </c>
      <c r="L33" s="257">
        <f t="shared" si="62"/>
        <v>0</v>
      </c>
      <c r="M33" s="257">
        <f t="shared" si="62"/>
        <v>0</v>
      </c>
      <c r="N33" s="257">
        <f t="shared" si="72"/>
        <v>0</v>
      </c>
      <c r="O33" s="257">
        <f t="shared" si="72"/>
        <v>0</v>
      </c>
      <c r="P33" s="257">
        <f t="shared" si="72"/>
        <v>0</v>
      </c>
      <c r="Q33" s="257">
        <f t="shared" si="72"/>
        <v>0</v>
      </c>
      <c r="R33" s="257">
        <f t="shared" si="72"/>
        <v>0</v>
      </c>
      <c r="S33" s="257">
        <f t="shared" si="72"/>
        <v>0</v>
      </c>
      <c r="T33" s="257">
        <f t="shared" si="72"/>
        <v>0</v>
      </c>
      <c r="U33" s="257">
        <f t="shared" si="72"/>
        <v>0</v>
      </c>
      <c r="V33" s="257">
        <f t="shared" si="72"/>
        <v>0</v>
      </c>
      <c r="W33" s="257">
        <f t="shared" si="72"/>
        <v>0</v>
      </c>
      <c r="X33" s="257">
        <f t="shared" si="72"/>
        <v>0</v>
      </c>
      <c r="Y33" s="257">
        <f t="shared" si="72"/>
        <v>0</v>
      </c>
      <c r="Z33" s="257">
        <f t="shared" si="72"/>
        <v>0</v>
      </c>
      <c r="AA33" s="257">
        <f t="shared" si="72"/>
        <v>0</v>
      </c>
      <c r="AB33" s="257">
        <f t="shared" si="72"/>
        <v>0</v>
      </c>
      <c r="AC33" s="257">
        <f t="shared" si="72"/>
        <v>0</v>
      </c>
      <c r="AD33" s="257">
        <f t="shared" si="72"/>
        <v>0</v>
      </c>
      <c r="AE33" s="257">
        <f t="shared" si="72"/>
        <v>0</v>
      </c>
      <c r="AF33" s="257">
        <f t="shared" si="72"/>
        <v>0</v>
      </c>
      <c r="AG33" s="257">
        <f t="shared" si="72"/>
        <v>0</v>
      </c>
      <c r="AH33" s="257">
        <f t="shared" si="72"/>
        <v>0</v>
      </c>
      <c r="AI33" s="257">
        <f t="shared" si="72"/>
        <v>0</v>
      </c>
      <c r="AJ33" s="257">
        <f t="shared" si="72"/>
        <v>0</v>
      </c>
      <c r="AK33" s="257">
        <f t="shared" si="72"/>
        <v>0</v>
      </c>
      <c r="AL33" s="257">
        <f t="shared" si="72"/>
        <v>0</v>
      </c>
      <c r="AM33" s="257">
        <f t="shared" si="72"/>
        <v>0</v>
      </c>
      <c r="AN33" s="257">
        <f t="shared" si="72"/>
        <v>0</v>
      </c>
      <c r="AO33" s="257">
        <f t="shared" si="72"/>
        <v>0</v>
      </c>
      <c r="AP33" s="257">
        <f t="shared" si="72"/>
        <v>0</v>
      </c>
      <c r="AQ33" s="257">
        <f t="shared" si="72"/>
        <v>0</v>
      </c>
      <c r="AR33" s="257">
        <f t="shared" si="72"/>
        <v>0</v>
      </c>
      <c r="AS33" s="257">
        <f t="shared" si="72"/>
        <v>0</v>
      </c>
      <c r="AT33" s="257">
        <f t="shared" si="72"/>
        <v>0</v>
      </c>
      <c r="AU33" s="257">
        <f t="shared" si="72"/>
        <v>0</v>
      </c>
      <c r="AV33" s="257">
        <f t="shared" si="72"/>
        <v>0</v>
      </c>
      <c r="AW33" s="257">
        <f t="shared" si="72"/>
        <v>0</v>
      </c>
      <c r="AX33" s="257">
        <f t="shared" si="72"/>
        <v>0</v>
      </c>
      <c r="AY33" s="257">
        <f t="shared" si="72"/>
        <v>0</v>
      </c>
      <c r="AZ33" s="257">
        <f t="shared" si="72"/>
        <v>0</v>
      </c>
    </row>
    <row r="34" spans="2:52" ht="20" customHeight="1" outlineLevel="1" x14ac:dyDescent="0.25">
      <c r="B34" s="298" t="s">
        <v>172</v>
      </c>
      <c r="C34" s="255">
        <f t="shared" ref="C34:AH34" si="75">C32</f>
        <v>-39663.98486490002</v>
      </c>
      <c r="D34" s="255">
        <f t="shared" si="75"/>
        <v>-56640.221414700049</v>
      </c>
      <c r="E34" s="255">
        <f t="shared" si="75"/>
        <v>-5885.6045698800117</v>
      </c>
      <c r="F34" s="255">
        <f t="shared" si="75"/>
        <v>-396.15666644000521</v>
      </c>
      <c r="G34" s="255">
        <f t="shared" si="75"/>
        <v>1509.2577696959895</v>
      </c>
      <c r="H34" s="255">
        <f t="shared" si="75"/>
        <v>2850.3888037299125</v>
      </c>
      <c r="I34" s="255">
        <f t="shared" si="75"/>
        <v>4206.7667275734766</v>
      </c>
      <c r="J34" s="255">
        <f t="shared" si="75"/>
        <v>5578.696479022864</v>
      </c>
      <c r="K34" s="255">
        <f t="shared" si="75"/>
        <v>6966.4890946301894</v>
      </c>
      <c r="L34" s="255">
        <f t="shared" si="75"/>
        <v>8370.46183167864</v>
      </c>
      <c r="M34" s="255">
        <f t="shared" si="75"/>
        <v>9790.9382925970131</v>
      </c>
      <c r="N34" s="255">
        <f t="shared" si="75"/>
        <v>11228.248551862716</v>
      </c>
      <c r="O34" s="255">
        <f t="shared" si="75"/>
        <v>-12405.381436396652</v>
      </c>
      <c r="P34" s="255">
        <f t="shared" si="75"/>
        <v>-9795.3806510709692</v>
      </c>
      <c r="Q34" s="255">
        <f t="shared" si="75"/>
        <v>-7163.0496638995901</v>
      </c>
      <c r="R34" s="255">
        <f t="shared" si="75"/>
        <v>-4507.9418708455778</v>
      </c>
      <c r="S34" s="255">
        <f t="shared" si="75"/>
        <v>-1829.6017357913151</v>
      </c>
      <c r="T34" s="255">
        <f t="shared" si="75"/>
        <v>18061.569781106624</v>
      </c>
      <c r="U34" s="255">
        <f t="shared" si="75"/>
        <v>19663.749679563967</v>
      </c>
      <c r="V34" s="255">
        <f t="shared" si="75"/>
        <v>21285.653055772833</v>
      </c>
      <c r="W34" s="255">
        <f t="shared" si="75"/>
        <v>22927.674379288292</v>
      </c>
      <c r="X34" s="255">
        <f t="shared" si="75"/>
        <v>24590.216009056472</v>
      </c>
      <c r="Y34" s="255">
        <f t="shared" si="75"/>
        <v>26273.688351202392</v>
      </c>
      <c r="Z34" s="255">
        <f t="shared" si="75"/>
        <v>27978.510019973648</v>
      </c>
      <c r="AA34" s="255">
        <f t="shared" si="75"/>
        <v>29705.10800190271</v>
      </c>
      <c r="AB34" s="255">
        <f t="shared" si="75"/>
        <v>31453.917823252756</v>
      </c>
      <c r="AC34" s="255">
        <f t="shared" si="75"/>
        <v>33225.383720812228</v>
      </c>
      <c r="AD34" s="255">
        <v>35019.958816105267</v>
      </c>
      <c r="AE34" s="255">
        <v>36838.10529308657</v>
      </c>
      <c r="AF34" s="255">
        <v>38680.294579389898</v>
      </c>
      <c r="AG34" s="254">
        <f t="shared" si="75"/>
        <v>40547.007531201685</v>
      </c>
      <c r="AH34" s="254">
        <f t="shared" si="75"/>
        <v>42438.734621832133</v>
      </c>
      <c r="AI34" s="254">
        <f t="shared" ref="AI34:AZ34" si="76">AI32</f>
        <v>30991.112963959418</v>
      </c>
      <c r="AJ34" s="254">
        <f t="shared" si="76"/>
        <v>31600.935223238612</v>
      </c>
      <c r="AK34" s="254">
        <f t="shared" si="76"/>
        <v>32222.953927703387</v>
      </c>
      <c r="AL34" s="254">
        <f t="shared" si="76"/>
        <v>32857.413006257455</v>
      </c>
      <c r="AM34" s="254">
        <f t="shared" si="76"/>
        <v>33504.561266382596</v>
      </c>
      <c r="AN34" s="254">
        <f t="shared" si="76"/>
        <v>34164.652491710251</v>
      </c>
      <c r="AO34" s="254">
        <f t="shared" si="76"/>
        <v>34837.945541544461</v>
      </c>
      <c r="AP34" s="254">
        <f t="shared" si="76"/>
        <v>35524.70445237535</v>
      </c>
      <c r="AQ34" s="254">
        <f t="shared" si="76"/>
        <v>36225.198541422847</v>
      </c>
      <c r="AR34" s="254">
        <f t="shared" si="76"/>
        <v>36939.702512251315</v>
      </c>
      <c r="AS34" s="254">
        <f t="shared" si="76"/>
        <v>37668.496562496337</v>
      </c>
      <c r="AT34" s="254">
        <f t="shared" si="76"/>
        <v>38411.86649374626</v>
      </c>
      <c r="AU34" s="254">
        <f t="shared" si="76"/>
        <v>39170.10382362119</v>
      </c>
      <c r="AV34" s="254">
        <f t="shared" si="76"/>
        <v>39943.505900093623</v>
      </c>
      <c r="AW34" s="254">
        <f t="shared" si="76"/>
        <v>40732.376018095485</v>
      </c>
      <c r="AX34" s="254">
        <f t="shared" si="76"/>
        <v>41537.023538457404</v>
      </c>
      <c r="AY34" s="254">
        <f t="shared" si="76"/>
        <v>42357.764009226536</v>
      </c>
      <c r="AZ34" s="254">
        <f t="shared" si="76"/>
        <v>43194.919289411067</v>
      </c>
    </row>
    <row r="35" spans="2:52" ht="20" customHeight="1" outlineLevel="1" x14ac:dyDescent="0.25">
      <c r="B35" s="256" t="s">
        <v>163</v>
      </c>
      <c r="C35" s="257">
        <f>C34-C32</f>
        <v>0</v>
      </c>
      <c r="D35" s="257">
        <f t="shared" si="62"/>
        <v>0</v>
      </c>
      <c r="E35" s="257">
        <f t="shared" si="62"/>
        <v>0</v>
      </c>
      <c r="F35" s="257">
        <f t="shared" si="62"/>
        <v>0</v>
      </c>
      <c r="G35" s="257">
        <f t="shared" si="62"/>
        <v>0</v>
      </c>
      <c r="H35" s="257">
        <f t="shared" si="62"/>
        <v>0</v>
      </c>
      <c r="I35" s="257">
        <f t="shared" si="62"/>
        <v>0</v>
      </c>
      <c r="J35" s="257">
        <f t="shared" si="62"/>
        <v>0</v>
      </c>
      <c r="K35" s="257">
        <f t="shared" si="62"/>
        <v>0</v>
      </c>
      <c r="L35" s="257">
        <f t="shared" si="62"/>
        <v>0</v>
      </c>
      <c r="M35" s="257">
        <f t="shared" si="62"/>
        <v>0</v>
      </c>
      <c r="N35" s="257">
        <f t="shared" si="72"/>
        <v>0</v>
      </c>
      <c r="O35" s="257">
        <f t="shared" si="72"/>
        <v>0</v>
      </c>
      <c r="P35" s="257">
        <f t="shared" si="72"/>
        <v>0</v>
      </c>
      <c r="Q35" s="257">
        <f t="shared" si="72"/>
        <v>0</v>
      </c>
      <c r="R35" s="257">
        <f t="shared" si="72"/>
        <v>0</v>
      </c>
      <c r="S35" s="257">
        <f t="shared" si="72"/>
        <v>0</v>
      </c>
      <c r="T35" s="257">
        <f t="shared" si="72"/>
        <v>0</v>
      </c>
      <c r="U35" s="257">
        <f t="shared" si="72"/>
        <v>0</v>
      </c>
      <c r="V35" s="257">
        <f t="shared" si="72"/>
        <v>0</v>
      </c>
      <c r="W35" s="257">
        <f t="shared" si="72"/>
        <v>0</v>
      </c>
      <c r="X35" s="257">
        <f t="shared" si="72"/>
        <v>0</v>
      </c>
      <c r="Y35" s="257">
        <f t="shared" si="72"/>
        <v>0</v>
      </c>
      <c r="Z35" s="257">
        <f t="shared" si="72"/>
        <v>0</v>
      </c>
      <c r="AA35" s="257">
        <f t="shared" si="72"/>
        <v>0</v>
      </c>
      <c r="AB35" s="257">
        <f t="shared" si="72"/>
        <v>0</v>
      </c>
      <c r="AC35" s="257">
        <f t="shared" si="72"/>
        <v>0</v>
      </c>
      <c r="AD35" s="257">
        <f t="shared" si="72"/>
        <v>0</v>
      </c>
      <c r="AE35" s="257">
        <f t="shared" si="72"/>
        <v>0</v>
      </c>
      <c r="AF35" s="257">
        <f t="shared" si="72"/>
        <v>0</v>
      </c>
      <c r="AG35" s="257">
        <f t="shared" si="72"/>
        <v>0</v>
      </c>
      <c r="AH35" s="257">
        <f t="shared" si="72"/>
        <v>0</v>
      </c>
      <c r="AI35" s="257">
        <f t="shared" si="72"/>
        <v>0</v>
      </c>
      <c r="AJ35" s="257">
        <f t="shared" si="72"/>
        <v>0</v>
      </c>
      <c r="AK35" s="257">
        <f t="shared" si="72"/>
        <v>0</v>
      </c>
      <c r="AL35" s="257">
        <f t="shared" si="72"/>
        <v>0</v>
      </c>
      <c r="AM35" s="257">
        <f t="shared" si="72"/>
        <v>0</v>
      </c>
      <c r="AN35" s="257">
        <f t="shared" si="72"/>
        <v>0</v>
      </c>
      <c r="AO35" s="257">
        <f t="shared" si="72"/>
        <v>0</v>
      </c>
      <c r="AP35" s="257">
        <f t="shared" si="72"/>
        <v>0</v>
      </c>
      <c r="AQ35" s="257">
        <f t="shared" si="72"/>
        <v>0</v>
      </c>
      <c r="AR35" s="257">
        <f t="shared" si="72"/>
        <v>0</v>
      </c>
      <c r="AS35" s="257">
        <f t="shared" si="72"/>
        <v>0</v>
      </c>
      <c r="AT35" s="257">
        <f t="shared" si="72"/>
        <v>0</v>
      </c>
      <c r="AU35" s="257">
        <f t="shared" si="72"/>
        <v>0</v>
      </c>
      <c r="AV35" s="257">
        <f t="shared" si="72"/>
        <v>0</v>
      </c>
      <c r="AW35" s="257">
        <f t="shared" si="72"/>
        <v>0</v>
      </c>
      <c r="AX35" s="257">
        <f t="shared" si="72"/>
        <v>0</v>
      </c>
      <c r="AY35" s="257">
        <f t="shared" si="72"/>
        <v>0</v>
      </c>
      <c r="AZ35" s="257">
        <f t="shared" si="72"/>
        <v>0</v>
      </c>
    </row>
    <row r="36" spans="2:52" ht="20" customHeight="1" outlineLevel="1" x14ac:dyDescent="0.25">
      <c r="B36" s="298" t="s">
        <v>173</v>
      </c>
      <c r="C36" s="255">
        <f t="shared" ref="C36:AF36" si="77">C34</f>
        <v>-39663.98486490002</v>
      </c>
      <c r="D36" s="255">
        <f t="shared" si="77"/>
        <v>-56640.221414700049</v>
      </c>
      <c r="E36" s="255">
        <f t="shared" si="77"/>
        <v>-5885.6045698800117</v>
      </c>
      <c r="F36" s="255">
        <f t="shared" si="77"/>
        <v>-396.15666644000521</v>
      </c>
      <c r="G36" s="255">
        <f t="shared" si="77"/>
        <v>1509.2577696959895</v>
      </c>
      <c r="H36" s="255">
        <f t="shared" si="77"/>
        <v>2850.3888037299125</v>
      </c>
      <c r="I36" s="255">
        <f t="shared" si="77"/>
        <v>4206.7667275734766</v>
      </c>
      <c r="J36" s="255">
        <f t="shared" si="77"/>
        <v>5578.696479022864</v>
      </c>
      <c r="K36" s="255">
        <f t="shared" si="77"/>
        <v>6966.4890946301894</v>
      </c>
      <c r="L36" s="255">
        <f t="shared" si="77"/>
        <v>8370.46183167864</v>
      </c>
      <c r="M36" s="255">
        <f t="shared" si="77"/>
        <v>9790.9382925970131</v>
      </c>
      <c r="N36" s="255">
        <f t="shared" si="77"/>
        <v>11228.248551862716</v>
      </c>
      <c r="O36" s="255">
        <f t="shared" si="77"/>
        <v>-12405.381436396652</v>
      </c>
      <c r="P36" s="255">
        <f t="shared" si="77"/>
        <v>-9795.3806510709692</v>
      </c>
      <c r="Q36" s="255">
        <f t="shared" si="77"/>
        <v>-7163.0496638995901</v>
      </c>
      <c r="R36" s="255">
        <f t="shared" si="77"/>
        <v>-4507.9418708455778</v>
      </c>
      <c r="S36" s="255">
        <f t="shared" si="77"/>
        <v>-1829.6017357913151</v>
      </c>
      <c r="T36" s="255">
        <f t="shared" si="77"/>
        <v>18061.569781106624</v>
      </c>
      <c r="U36" s="255">
        <f t="shared" si="77"/>
        <v>19663.749679563967</v>
      </c>
      <c r="V36" s="255">
        <f t="shared" si="77"/>
        <v>21285.653055772833</v>
      </c>
      <c r="W36" s="255">
        <f t="shared" si="77"/>
        <v>22927.674379288292</v>
      </c>
      <c r="X36" s="255">
        <f t="shared" si="77"/>
        <v>24590.216009056472</v>
      </c>
      <c r="Y36" s="255">
        <f t="shared" si="77"/>
        <v>26273.688351202392</v>
      </c>
      <c r="Z36" s="255">
        <f t="shared" si="77"/>
        <v>27978.510019973648</v>
      </c>
      <c r="AA36" s="255">
        <f t="shared" si="77"/>
        <v>29705.10800190271</v>
      </c>
      <c r="AB36" s="255">
        <f t="shared" si="77"/>
        <v>31453.917823252756</v>
      </c>
      <c r="AC36" s="255">
        <f t="shared" si="77"/>
        <v>33225.383720812228</v>
      </c>
      <c r="AD36" s="255">
        <f t="shared" si="77"/>
        <v>35019.958816105267</v>
      </c>
      <c r="AE36" s="255">
        <f t="shared" si="77"/>
        <v>36838.10529308657</v>
      </c>
      <c r="AF36" s="255">
        <f t="shared" si="77"/>
        <v>38680.294579389898</v>
      </c>
      <c r="AG36" s="255">
        <v>40547.007531201685</v>
      </c>
      <c r="AH36" s="255">
        <v>42438.734621832133</v>
      </c>
      <c r="AI36" s="255">
        <v>30991.112963959418</v>
      </c>
      <c r="AJ36" s="254">
        <f t="shared" ref="AJ36:AZ36" si="78">AJ34</f>
        <v>31600.935223238612</v>
      </c>
      <c r="AK36" s="254">
        <f t="shared" si="78"/>
        <v>32222.953927703387</v>
      </c>
      <c r="AL36" s="254">
        <f t="shared" si="78"/>
        <v>32857.413006257455</v>
      </c>
      <c r="AM36" s="254">
        <f t="shared" si="78"/>
        <v>33504.561266382596</v>
      </c>
      <c r="AN36" s="254">
        <f t="shared" si="78"/>
        <v>34164.652491710251</v>
      </c>
      <c r="AO36" s="254">
        <f t="shared" si="78"/>
        <v>34837.945541544461</v>
      </c>
      <c r="AP36" s="254">
        <f t="shared" si="78"/>
        <v>35524.70445237535</v>
      </c>
      <c r="AQ36" s="254">
        <f t="shared" si="78"/>
        <v>36225.198541422847</v>
      </c>
      <c r="AR36" s="254">
        <f t="shared" si="78"/>
        <v>36939.702512251315</v>
      </c>
      <c r="AS36" s="254">
        <f t="shared" si="78"/>
        <v>37668.496562496337</v>
      </c>
      <c r="AT36" s="254">
        <f t="shared" si="78"/>
        <v>38411.86649374626</v>
      </c>
      <c r="AU36" s="254">
        <f t="shared" si="78"/>
        <v>39170.10382362119</v>
      </c>
      <c r="AV36" s="254">
        <f t="shared" si="78"/>
        <v>39943.505900093623</v>
      </c>
      <c r="AW36" s="254">
        <f t="shared" si="78"/>
        <v>40732.376018095485</v>
      </c>
      <c r="AX36" s="254">
        <f t="shared" si="78"/>
        <v>41537.023538457404</v>
      </c>
      <c r="AY36" s="254">
        <f t="shared" si="78"/>
        <v>42357.764009226536</v>
      </c>
      <c r="AZ36" s="254">
        <f t="shared" si="78"/>
        <v>43194.919289411067</v>
      </c>
    </row>
    <row r="37" spans="2:52" ht="20" customHeight="1" outlineLevel="1" x14ac:dyDescent="0.25">
      <c r="B37" s="256" t="s">
        <v>163</v>
      </c>
      <c r="C37" s="257">
        <f>C36-C34</f>
        <v>0</v>
      </c>
      <c r="D37" s="257">
        <f t="shared" si="62"/>
        <v>0</v>
      </c>
      <c r="E37" s="257">
        <f t="shared" si="62"/>
        <v>0</v>
      </c>
      <c r="F37" s="257">
        <f t="shared" si="62"/>
        <v>0</v>
      </c>
      <c r="G37" s="257">
        <f t="shared" si="62"/>
        <v>0</v>
      </c>
      <c r="H37" s="257">
        <f t="shared" si="62"/>
        <v>0</v>
      </c>
      <c r="I37" s="257">
        <f t="shared" si="62"/>
        <v>0</v>
      </c>
      <c r="J37" s="257">
        <f t="shared" si="62"/>
        <v>0</v>
      </c>
      <c r="K37" s="257">
        <f t="shared" si="62"/>
        <v>0</v>
      </c>
      <c r="L37" s="257">
        <f t="shared" si="62"/>
        <v>0</v>
      </c>
      <c r="M37" s="257">
        <f t="shared" si="62"/>
        <v>0</v>
      </c>
      <c r="N37" s="257">
        <f t="shared" si="72"/>
        <v>0</v>
      </c>
      <c r="O37" s="257">
        <f t="shared" si="72"/>
        <v>0</v>
      </c>
      <c r="P37" s="257">
        <f t="shared" si="72"/>
        <v>0</v>
      </c>
      <c r="Q37" s="257">
        <f t="shared" si="72"/>
        <v>0</v>
      </c>
      <c r="R37" s="257">
        <f t="shared" si="72"/>
        <v>0</v>
      </c>
      <c r="S37" s="257">
        <f t="shared" si="72"/>
        <v>0</v>
      </c>
      <c r="T37" s="257">
        <f t="shared" si="72"/>
        <v>0</v>
      </c>
      <c r="U37" s="257">
        <f t="shared" si="72"/>
        <v>0</v>
      </c>
      <c r="V37" s="257">
        <f t="shared" si="72"/>
        <v>0</v>
      </c>
      <c r="W37" s="257">
        <f t="shared" si="72"/>
        <v>0</v>
      </c>
      <c r="X37" s="257">
        <f t="shared" si="72"/>
        <v>0</v>
      </c>
      <c r="Y37" s="257">
        <f t="shared" si="72"/>
        <v>0</v>
      </c>
      <c r="Z37" s="257">
        <f t="shared" si="72"/>
        <v>0</v>
      </c>
      <c r="AA37" s="257">
        <f t="shared" si="72"/>
        <v>0</v>
      </c>
      <c r="AB37" s="257">
        <f t="shared" si="72"/>
        <v>0</v>
      </c>
      <c r="AC37" s="257">
        <f t="shared" si="72"/>
        <v>0</v>
      </c>
      <c r="AD37" s="257">
        <f t="shared" si="72"/>
        <v>0</v>
      </c>
      <c r="AE37" s="257">
        <f t="shared" si="72"/>
        <v>0</v>
      </c>
      <c r="AF37" s="257">
        <f t="shared" si="72"/>
        <v>0</v>
      </c>
      <c r="AG37" s="257">
        <f t="shared" si="72"/>
        <v>0</v>
      </c>
      <c r="AH37" s="257">
        <f t="shared" si="72"/>
        <v>0</v>
      </c>
      <c r="AI37" s="257">
        <f t="shared" si="72"/>
        <v>0</v>
      </c>
      <c r="AJ37" s="257">
        <f t="shared" si="72"/>
        <v>0</v>
      </c>
      <c r="AK37" s="257">
        <f t="shared" si="72"/>
        <v>0</v>
      </c>
      <c r="AL37" s="257">
        <f t="shared" si="72"/>
        <v>0</v>
      </c>
      <c r="AM37" s="257">
        <f t="shared" si="72"/>
        <v>0</v>
      </c>
      <c r="AN37" s="257">
        <f t="shared" si="72"/>
        <v>0</v>
      </c>
      <c r="AO37" s="257">
        <f t="shared" si="72"/>
        <v>0</v>
      </c>
      <c r="AP37" s="257">
        <f t="shared" si="72"/>
        <v>0</v>
      </c>
      <c r="AQ37" s="257">
        <f t="shared" si="72"/>
        <v>0</v>
      </c>
      <c r="AR37" s="257">
        <f t="shared" si="72"/>
        <v>0</v>
      </c>
      <c r="AS37" s="257">
        <f t="shared" si="72"/>
        <v>0</v>
      </c>
      <c r="AT37" s="257">
        <f t="shared" si="72"/>
        <v>0</v>
      </c>
      <c r="AU37" s="257">
        <f t="shared" si="72"/>
        <v>0</v>
      </c>
      <c r="AV37" s="257">
        <f t="shared" si="72"/>
        <v>0</v>
      </c>
      <c r="AW37" s="257">
        <f t="shared" si="72"/>
        <v>0</v>
      </c>
      <c r="AX37" s="257">
        <f t="shared" si="72"/>
        <v>0</v>
      </c>
      <c r="AY37" s="257">
        <f t="shared" si="72"/>
        <v>0</v>
      </c>
      <c r="AZ37" s="257">
        <f t="shared" si="72"/>
        <v>0</v>
      </c>
    </row>
    <row r="38" spans="2:52" ht="20" customHeight="1" outlineLevel="1" x14ac:dyDescent="0.25">
      <c r="B38" s="298" t="s">
        <v>174</v>
      </c>
      <c r="C38" s="255">
        <f t="shared" ref="C38:AH38" si="79">C36</f>
        <v>-39663.98486490002</v>
      </c>
      <c r="D38" s="255">
        <f t="shared" si="79"/>
        <v>-56640.221414700049</v>
      </c>
      <c r="E38" s="255">
        <f t="shared" si="79"/>
        <v>-5885.6045698800117</v>
      </c>
      <c r="F38" s="255">
        <f t="shared" si="79"/>
        <v>-396.15666644000521</v>
      </c>
      <c r="G38" s="255">
        <f t="shared" si="79"/>
        <v>1509.2577696959895</v>
      </c>
      <c r="H38" s="255">
        <f t="shared" si="79"/>
        <v>2850.3888037299125</v>
      </c>
      <c r="I38" s="255">
        <f t="shared" si="79"/>
        <v>4206.7667275734766</v>
      </c>
      <c r="J38" s="255">
        <f t="shared" si="79"/>
        <v>5578.696479022864</v>
      </c>
      <c r="K38" s="255">
        <f t="shared" si="79"/>
        <v>6966.4890946301894</v>
      </c>
      <c r="L38" s="255">
        <f t="shared" si="79"/>
        <v>8370.46183167864</v>
      </c>
      <c r="M38" s="255">
        <f t="shared" si="79"/>
        <v>9790.9382925970131</v>
      </c>
      <c r="N38" s="255">
        <f t="shared" si="79"/>
        <v>11228.248551862716</v>
      </c>
      <c r="O38" s="255">
        <f t="shared" si="79"/>
        <v>-12405.381436396652</v>
      </c>
      <c r="P38" s="255">
        <f t="shared" si="79"/>
        <v>-9795.3806510709692</v>
      </c>
      <c r="Q38" s="255">
        <f t="shared" si="79"/>
        <v>-7163.0496638995901</v>
      </c>
      <c r="R38" s="255">
        <f t="shared" si="79"/>
        <v>-4507.9418708455778</v>
      </c>
      <c r="S38" s="255">
        <f t="shared" si="79"/>
        <v>-1829.6017357913151</v>
      </c>
      <c r="T38" s="255">
        <f t="shared" si="79"/>
        <v>18061.569781106624</v>
      </c>
      <c r="U38" s="255">
        <f t="shared" si="79"/>
        <v>19663.749679563967</v>
      </c>
      <c r="V38" s="255">
        <f t="shared" si="79"/>
        <v>21285.653055772833</v>
      </c>
      <c r="W38" s="255">
        <f t="shared" si="79"/>
        <v>22927.674379288292</v>
      </c>
      <c r="X38" s="255">
        <f t="shared" si="79"/>
        <v>24590.216009056472</v>
      </c>
      <c r="Y38" s="255">
        <f t="shared" si="79"/>
        <v>26273.688351202392</v>
      </c>
      <c r="Z38" s="255">
        <f t="shared" si="79"/>
        <v>27978.510019973648</v>
      </c>
      <c r="AA38" s="255">
        <f t="shared" si="79"/>
        <v>29705.10800190271</v>
      </c>
      <c r="AB38" s="255">
        <f t="shared" si="79"/>
        <v>31453.917823252756</v>
      </c>
      <c r="AC38" s="255">
        <f t="shared" si="79"/>
        <v>33225.383720812228</v>
      </c>
      <c r="AD38" s="255">
        <f t="shared" si="79"/>
        <v>35019.958816105267</v>
      </c>
      <c r="AE38" s="255">
        <f t="shared" si="79"/>
        <v>36838.10529308657</v>
      </c>
      <c r="AF38" s="255">
        <f t="shared" si="79"/>
        <v>38680.294579389898</v>
      </c>
      <c r="AG38" s="255">
        <f t="shared" si="79"/>
        <v>40547.007531201685</v>
      </c>
      <c r="AH38" s="255">
        <f t="shared" si="79"/>
        <v>42438.734621832133</v>
      </c>
      <c r="AI38" s="255">
        <f t="shared" ref="AI38:AZ38" si="80">AI36</f>
        <v>30991.112963959418</v>
      </c>
      <c r="AJ38" s="255">
        <v>31600.935223238612</v>
      </c>
      <c r="AK38" s="255">
        <v>32222.953927703387</v>
      </c>
      <c r="AL38" s="255">
        <v>32857.413006257455</v>
      </c>
      <c r="AM38" s="254">
        <f t="shared" si="80"/>
        <v>33504.561266382596</v>
      </c>
      <c r="AN38" s="254">
        <f t="shared" si="80"/>
        <v>34164.652491710251</v>
      </c>
      <c r="AO38" s="254">
        <f t="shared" si="80"/>
        <v>34837.945541544461</v>
      </c>
      <c r="AP38" s="254">
        <f t="shared" si="80"/>
        <v>35524.70445237535</v>
      </c>
      <c r="AQ38" s="254">
        <f t="shared" si="80"/>
        <v>36225.198541422847</v>
      </c>
      <c r="AR38" s="254">
        <f t="shared" si="80"/>
        <v>36939.702512251315</v>
      </c>
      <c r="AS38" s="254">
        <f t="shared" si="80"/>
        <v>37668.496562496337</v>
      </c>
      <c r="AT38" s="254">
        <f t="shared" si="80"/>
        <v>38411.86649374626</v>
      </c>
      <c r="AU38" s="254">
        <f t="shared" si="80"/>
        <v>39170.10382362119</v>
      </c>
      <c r="AV38" s="254">
        <f t="shared" si="80"/>
        <v>39943.505900093623</v>
      </c>
      <c r="AW38" s="254">
        <f t="shared" si="80"/>
        <v>40732.376018095485</v>
      </c>
      <c r="AX38" s="254">
        <f t="shared" si="80"/>
        <v>41537.023538457404</v>
      </c>
      <c r="AY38" s="254">
        <f t="shared" si="80"/>
        <v>42357.764009226536</v>
      </c>
      <c r="AZ38" s="254">
        <f t="shared" si="80"/>
        <v>43194.919289411067</v>
      </c>
    </row>
    <row r="39" spans="2:52" ht="20" customHeight="1" outlineLevel="1" x14ac:dyDescent="0.25">
      <c r="B39" s="256" t="s">
        <v>163</v>
      </c>
      <c r="C39" s="257">
        <f>C38-C36</f>
        <v>0</v>
      </c>
      <c r="D39" s="257">
        <f t="shared" si="62"/>
        <v>0</v>
      </c>
      <c r="E39" s="257">
        <f t="shared" si="62"/>
        <v>0</v>
      </c>
      <c r="F39" s="257">
        <f t="shared" si="62"/>
        <v>0</v>
      </c>
      <c r="G39" s="257">
        <f t="shared" si="62"/>
        <v>0</v>
      </c>
      <c r="H39" s="257">
        <f t="shared" si="62"/>
        <v>0</v>
      </c>
      <c r="I39" s="257">
        <f t="shared" si="62"/>
        <v>0</v>
      </c>
      <c r="J39" s="257">
        <f t="shared" si="62"/>
        <v>0</v>
      </c>
      <c r="K39" s="257">
        <f t="shared" si="62"/>
        <v>0</v>
      </c>
      <c r="L39" s="257">
        <f t="shared" si="62"/>
        <v>0</v>
      </c>
      <c r="M39" s="257">
        <f t="shared" ref="M39:AZ49" si="81">M38-M36</f>
        <v>0</v>
      </c>
      <c r="N39" s="257">
        <f t="shared" si="72"/>
        <v>0</v>
      </c>
      <c r="O39" s="257">
        <f t="shared" si="72"/>
        <v>0</v>
      </c>
      <c r="P39" s="257">
        <f t="shared" si="72"/>
        <v>0</v>
      </c>
      <c r="Q39" s="257">
        <f t="shared" si="72"/>
        <v>0</v>
      </c>
      <c r="R39" s="257">
        <f t="shared" si="72"/>
        <v>0</v>
      </c>
      <c r="S39" s="257">
        <f t="shared" si="72"/>
        <v>0</v>
      </c>
      <c r="T39" s="257">
        <f t="shared" si="72"/>
        <v>0</v>
      </c>
      <c r="U39" s="257">
        <f t="shared" si="72"/>
        <v>0</v>
      </c>
      <c r="V39" s="257">
        <f t="shared" si="72"/>
        <v>0</v>
      </c>
      <c r="W39" s="257">
        <f t="shared" si="72"/>
        <v>0</v>
      </c>
      <c r="X39" s="257">
        <f t="shared" si="72"/>
        <v>0</v>
      </c>
      <c r="Y39" s="257">
        <f t="shared" si="72"/>
        <v>0</v>
      </c>
      <c r="Z39" s="257">
        <f t="shared" si="72"/>
        <v>0</v>
      </c>
      <c r="AA39" s="257">
        <f t="shared" si="72"/>
        <v>0</v>
      </c>
      <c r="AB39" s="257">
        <f t="shared" si="72"/>
        <v>0</v>
      </c>
      <c r="AC39" s="257">
        <f t="shared" si="72"/>
        <v>0</v>
      </c>
      <c r="AD39" s="257">
        <f t="shared" si="72"/>
        <v>0</v>
      </c>
      <c r="AE39" s="257">
        <f t="shared" si="72"/>
        <v>0</v>
      </c>
      <c r="AF39" s="257">
        <f t="shared" si="72"/>
        <v>0</v>
      </c>
      <c r="AG39" s="257">
        <f t="shared" si="72"/>
        <v>0</v>
      </c>
      <c r="AH39" s="257">
        <f t="shared" si="72"/>
        <v>0</v>
      </c>
      <c r="AI39" s="257">
        <f t="shared" si="72"/>
        <v>0</v>
      </c>
      <c r="AJ39" s="257">
        <f t="shared" si="72"/>
        <v>0</v>
      </c>
      <c r="AK39" s="257">
        <f t="shared" si="72"/>
        <v>0</v>
      </c>
      <c r="AL39" s="257">
        <f t="shared" si="72"/>
        <v>0</v>
      </c>
      <c r="AM39" s="257">
        <f t="shared" si="72"/>
        <v>0</v>
      </c>
      <c r="AN39" s="257">
        <f t="shared" si="72"/>
        <v>0</v>
      </c>
      <c r="AO39" s="257">
        <f t="shared" si="72"/>
        <v>0</v>
      </c>
      <c r="AP39" s="257">
        <f t="shared" si="72"/>
        <v>0</v>
      </c>
      <c r="AQ39" s="257">
        <f t="shared" si="72"/>
        <v>0</v>
      </c>
      <c r="AR39" s="257">
        <f t="shared" si="72"/>
        <v>0</v>
      </c>
      <c r="AS39" s="257">
        <f t="shared" si="72"/>
        <v>0</v>
      </c>
      <c r="AT39" s="257">
        <f t="shared" si="72"/>
        <v>0</v>
      </c>
      <c r="AU39" s="257">
        <f t="shared" si="72"/>
        <v>0</v>
      </c>
      <c r="AV39" s="257">
        <f t="shared" si="72"/>
        <v>0</v>
      </c>
      <c r="AW39" s="257">
        <f t="shared" si="72"/>
        <v>0</v>
      </c>
      <c r="AX39" s="257">
        <f t="shared" si="72"/>
        <v>0</v>
      </c>
      <c r="AY39" s="257">
        <f t="shared" si="72"/>
        <v>0</v>
      </c>
      <c r="AZ39" s="257">
        <f t="shared" si="72"/>
        <v>0</v>
      </c>
    </row>
    <row r="40" spans="2:52" ht="20" customHeight="1" outlineLevel="1" x14ac:dyDescent="0.25">
      <c r="B40" s="298" t="s">
        <v>175</v>
      </c>
      <c r="C40" s="255">
        <f t="shared" ref="C40:AH40" si="82">C38</f>
        <v>-39663.98486490002</v>
      </c>
      <c r="D40" s="255">
        <f t="shared" si="82"/>
        <v>-56640.221414700049</v>
      </c>
      <c r="E40" s="255">
        <f t="shared" si="82"/>
        <v>-5885.6045698800117</v>
      </c>
      <c r="F40" s="255">
        <f t="shared" si="82"/>
        <v>-396.15666644000521</v>
      </c>
      <c r="G40" s="255">
        <f t="shared" si="82"/>
        <v>1509.2577696959895</v>
      </c>
      <c r="H40" s="255">
        <f t="shared" si="82"/>
        <v>2850.3888037299125</v>
      </c>
      <c r="I40" s="255">
        <f t="shared" si="82"/>
        <v>4206.7667275734766</v>
      </c>
      <c r="J40" s="255">
        <f t="shared" si="82"/>
        <v>5578.696479022864</v>
      </c>
      <c r="K40" s="255">
        <f t="shared" si="82"/>
        <v>6966.4890946301894</v>
      </c>
      <c r="L40" s="255">
        <f t="shared" si="82"/>
        <v>8370.46183167864</v>
      </c>
      <c r="M40" s="255">
        <f t="shared" si="82"/>
        <v>9790.9382925970131</v>
      </c>
      <c r="N40" s="255">
        <f t="shared" si="82"/>
        <v>11228.248551862716</v>
      </c>
      <c r="O40" s="255">
        <f t="shared" si="82"/>
        <v>-12405.381436396652</v>
      </c>
      <c r="P40" s="255">
        <f t="shared" si="82"/>
        <v>-9795.3806510709692</v>
      </c>
      <c r="Q40" s="255">
        <f t="shared" si="82"/>
        <v>-7163.0496638995901</v>
      </c>
      <c r="R40" s="255">
        <f t="shared" si="82"/>
        <v>-4507.9418708455778</v>
      </c>
      <c r="S40" s="255">
        <f t="shared" si="82"/>
        <v>-1829.6017357913151</v>
      </c>
      <c r="T40" s="255">
        <f t="shared" si="82"/>
        <v>18061.569781106624</v>
      </c>
      <c r="U40" s="255">
        <f t="shared" si="82"/>
        <v>19663.749679563967</v>
      </c>
      <c r="V40" s="255">
        <f t="shared" si="82"/>
        <v>21285.653055772833</v>
      </c>
      <c r="W40" s="255">
        <f t="shared" si="82"/>
        <v>22927.674379288292</v>
      </c>
      <c r="X40" s="255">
        <f t="shared" si="82"/>
        <v>24590.216009056472</v>
      </c>
      <c r="Y40" s="255">
        <f t="shared" si="82"/>
        <v>26273.688351202392</v>
      </c>
      <c r="Z40" s="255">
        <f t="shared" si="82"/>
        <v>27978.510019973648</v>
      </c>
      <c r="AA40" s="255">
        <f t="shared" si="82"/>
        <v>29705.10800190271</v>
      </c>
      <c r="AB40" s="255">
        <f t="shared" si="82"/>
        <v>31453.917823252756</v>
      </c>
      <c r="AC40" s="255">
        <f t="shared" si="82"/>
        <v>33225.383720812228</v>
      </c>
      <c r="AD40" s="255">
        <f t="shared" si="82"/>
        <v>35019.958816105267</v>
      </c>
      <c r="AE40" s="255">
        <f t="shared" si="82"/>
        <v>36838.10529308657</v>
      </c>
      <c r="AF40" s="255">
        <f t="shared" si="82"/>
        <v>38680.294579389898</v>
      </c>
      <c r="AG40" s="255">
        <f t="shared" si="82"/>
        <v>40547.007531201685</v>
      </c>
      <c r="AH40" s="255">
        <f t="shared" si="82"/>
        <v>42438.734621832133</v>
      </c>
      <c r="AI40" s="255">
        <f t="shared" ref="AI40:AZ40" si="83">AI38</f>
        <v>30991.112963959418</v>
      </c>
      <c r="AJ40" s="255">
        <f t="shared" si="83"/>
        <v>31600.935223238612</v>
      </c>
      <c r="AK40" s="255">
        <f t="shared" si="83"/>
        <v>32222.953927703387</v>
      </c>
      <c r="AL40" s="255">
        <f t="shared" si="83"/>
        <v>32857.413006257455</v>
      </c>
      <c r="AM40" s="255">
        <v>33504.561266382596</v>
      </c>
      <c r="AN40" s="255">
        <v>34164.652491710251</v>
      </c>
      <c r="AO40" s="255">
        <v>34837.945541544461</v>
      </c>
      <c r="AP40" s="254">
        <f t="shared" si="83"/>
        <v>35524.70445237535</v>
      </c>
      <c r="AQ40" s="254">
        <f t="shared" si="83"/>
        <v>36225.198541422847</v>
      </c>
      <c r="AR40" s="254">
        <f>AR38</f>
        <v>36939.702512251315</v>
      </c>
      <c r="AS40" s="254">
        <f t="shared" si="83"/>
        <v>37668.496562496337</v>
      </c>
      <c r="AT40" s="254">
        <f t="shared" si="83"/>
        <v>38411.86649374626</v>
      </c>
      <c r="AU40" s="254">
        <f t="shared" si="83"/>
        <v>39170.10382362119</v>
      </c>
      <c r="AV40" s="254">
        <f t="shared" si="83"/>
        <v>39943.505900093623</v>
      </c>
      <c r="AW40" s="254">
        <f t="shared" si="83"/>
        <v>40732.376018095485</v>
      </c>
      <c r="AX40" s="254">
        <f t="shared" si="83"/>
        <v>41537.023538457404</v>
      </c>
      <c r="AY40" s="254">
        <f t="shared" si="83"/>
        <v>42357.764009226536</v>
      </c>
      <c r="AZ40" s="254">
        <f t="shared" si="83"/>
        <v>43194.919289411067</v>
      </c>
    </row>
    <row r="41" spans="2:52" ht="20" customHeight="1" outlineLevel="1" x14ac:dyDescent="0.25">
      <c r="B41" s="256" t="s">
        <v>163</v>
      </c>
      <c r="C41" s="257">
        <f>C40-C38</f>
        <v>0</v>
      </c>
      <c r="D41" s="257">
        <f t="shared" si="62"/>
        <v>0</v>
      </c>
      <c r="E41" s="257">
        <f t="shared" si="62"/>
        <v>0</v>
      </c>
      <c r="F41" s="257">
        <f t="shared" si="62"/>
        <v>0</v>
      </c>
      <c r="G41" s="257">
        <f t="shared" si="62"/>
        <v>0</v>
      </c>
      <c r="H41" s="257">
        <f t="shared" si="62"/>
        <v>0</v>
      </c>
      <c r="I41" s="257">
        <f t="shared" si="62"/>
        <v>0</v>
      </c>
      <c r="J41" s="257">
        <f t="shared" si="62"/>
        <v>0</v>
      </c>
      <c r="K41" s="257">
        <f t="shared" si="62"/>
        <v>0</v>
      </c>
      <c r="L41" s="257">
        <f t="shared" si="62"/>
        <v>0</v>
      </c>
      <c r="M41" s="257">
        <f t="shared" si="81"/>
        <v>0</v>
      </c>
      <c r="N41" s="257">
        <f t="shared" si="72"/>
        <v>0</v>
      </c>
      <c r="O41" s="257">
        <f t="shared" si="72"/>
        <v>0</v>
      </c>
      <c r="P41" s="257">
        <f t="shared" si="72"/>
        <v>0</v>
      </c>
      <c r="Q41" s="257">
        <f t="shared" si="72"/>
        <v>0</v>
      </c>
      <c r="R41" s="257">
        <f t="shared" si="72"/>
        <v>0</v>
      </c>
      <c r="S41" s="257">
        <f t="shared" si="72"/>
        <v>0</v>
      </c>
      <c r="T41" s="257">
        <f t="shared" si="72"/>
        <v>0</v>
      </c>
      <c r="U41" s="257">
        <f t="shared" si="72"/>
        <v>0</v>
      </c>
      <c r="V41" s="257">
        <f t="shared" si="72"/>
        <v>0</v>
      </c>
      <c r="W41" s="257">
        <f t="shared" si="72"/>
        <v>0</v>
      </c>
      <c r="X41" s="257">
        <f t="shared" si="72"/>
        <v>0</v>
      </c>
      <c r="Y41" s="257">
        <f t="shared" si="72"/>
        <v>0</v>
      </c>
      <c r="Z41" s="257">
        <f t="shared" si="72"/>
        <v>0</v>
      </c>
      <c r="AA41" s="257">
        <f t="shared" si="72"/>
        <v>0</v>
      </c>
      <c r="AB41" s="257">
        <f t="shared" si="72"/>
        <v>0</v>
      </c>
      <c r="AC41" s="257">
        <f t="shared" si="72"/>
        <v>0</v>
      </c>
      <c r="AD41" s="257">
        <f t="shared" si="72"/>
        <v>0</v>
      </c>
      <c r="AE41" s="257">
        <f t="shared" si="72"/>
        <v>0</v>
      </c>
      <c r="AF41" s="257">
        <f t="shared" si="72"/>
        <v>0</v>
      </c>
      <c r="AG41" s="257">
        <f t="shared" si="72"/>
        <v>0</v>
      </c>
      <c r="AH41" s="257">
        <f t="shared" si="72"/>
        <v>0</v>
      </c>
      <c r="AI41" s="257">
        <f t="shared" si="72"/>
        <v>0</v>
      </c>
      <c r="AJ41" s="257">
        <f t="shared" si="72"/>
        <v>0</v>
      </c>
      <c r="AK41" s="257">
        <f t="shared" si="72"/>
        <v>0</v>
      </c>
      <c r="AL41" s="257">
        <f t="shared" si="72"/>
        <v>0</v>
      </c>
      <c r="AM41" s="257">
        <f t="shared" si="72"/>
        <v>0</v>
      </c>
      <c r="AN41" s="257">
        <f t="shared" si="72"/>
        <v>0</v>
      </c>
      <c r="AO41" s="257">
        <f t="shared" si="72"/>
        <v>0</v>
      </c>
      <c r="AP41" s="257">
        <f t="shared" si="72"/>
        <v>0</v>
      </c>
      <c r="AQ41" s="257">
        <f t="shared" si="72"/>
        <v>0</v>
      </c>
      <c r="AR41" s="257">
        <f t="shared" si="72"/>
        <v>0</v>
      </c>
      <c r="AS41" s="257">
        <f t="shared" si="72"/>
        <v>0</v>
      </c>
      <c r="AT41" s="257">
        <f t="shared" si="72"/>
        <v>0</v>
      </c>
      <c r="AU41" s="257">
        <f t="shared" si="72"/>
        <v>0</v>
      </c>
      <c r="AV41" s="257">
        <f t="shared" si="72"/>
        <v>0</v>
      </c>
      <c r="AW41" s="257">
        <f t="shared" si="72"/>
        <v>0</v>
      </c>
      <c r="AX41" s="257">
        <f t="shared" si="72"/>
        <v>0</v>
      </c>
      <c r="AY41" s="257">
        <f t="shared" si="72"/>
        <v>0</v>
      </c>
      <c r="AZ41" s="257">
        <f t="shared" si="72"/>
        <v>0</v>
      </c>
    </row>
    <row r="42" spans="2:52" ht="20" customHeight="1" outlineLevel="1" x14ac:dyDescent="0.25">
      <c r="B42" s="298" t="s">
        <v>176</v>
      </c>
      <c r="C42" s="255">
        <f t="shared" ref="C42:AH42" si="84">C40</f>
        <v>-39663.98486490002</v>
      </c>
      <c r="D42" s="255">
        <f t="shared" si="84"/>
        <v>-56640.221414700049</v>
      </c>
      <c r="E42" s="255">
        <f t="shared" si="84"/>
        <v>-5885.6045698800117</v>
      </c>
      <c r="F42" s="255">
        <f t="shared" si="84"/>
        <v>-396.15666644000521</v>
      </c>
      <c r="G42" s="255">
        <f t="shared" si="84"/>
        <v>1509.2577696959895</v>
      </c>
      <c r="H42" s="255">
        <f t="shared" si="84"/>
        <v>2850.3888037299125</v>
      </c>
      <c r="I42" s="255">
        <f t="shared" si="84"/>
        <v>4206.7667275734766</v>
      </c>
      <c r="J42" s="255">
        <f t="shared" si="84"/>
        <v>5578.696479022864</v>
      </c>
      <c r="K42" s="255">
        <f t="shared" si="84"/>
        <v>6966.4890946301894</v>
      </c>
      <c r="L42" s="255">
        <f t="shared" si="84"/>
        <v>8370.46183167864</v>
      </c>
      <c r="M42" s="255">
        <f t="shared" si="84"/>
        <v>9790.9382925970131</v>
      </c>
      <c r="N42" s="255">
        <f t="shared" si="84"/>
        <v>11228.248551862716</v>
      </c>
      <c r="O42" s="255">
        <f t="shared" si="84"/>
        <v>-12405.381436396652</v>
      </c>
      <c r="P42" s="255">
        <f t="shared" si="84"/>
        <v>-9795.3806510709692</v>
      </c>
      <c r="Q42" s="255">
        <f t="shared" si="84"/>
        <v>-7163.0496638995901</v>
      </c>
      <c r="R42" s="255">
        <f t="shared" si="84"/>
        <v>-4507.9418708455778</v>
      </c>
      <c r="S42" s="255">
        <f t="shared" si="84"/>
        <v>-1829.6017357913151</v>
      </c>
      <c r="T42" s="255">
        <f t="shared" si="84"/>
        <v>18061.569781106624</v>
      </c>
      <c r="U42" s="255">
        <f t="shared" si="84"/>
        <v>19663.749679563967</v>
      </c>
      <c r="V42" s="255">
        <f t="shared" si="84"/>
        <v>21285.653055772833</v>
      </c>
      <c r="W42" s="255">
        <f t="shared" si="84"/>
        <v>22927.674379288292</v>
      </c>
      <c r="X42" s="255">
        <f t="shared" si="84"/>
        <v>24590.216009056472</v>
      </c>
      <c r="Y42" s="255">
        <f t="shared" si="84"/>
        <v>26273.688351202392</v>
      </c>
      <c r="Z42" s="255">
        <f t="shared" si="84"/>
        <v>27978.510019973648</v>
      </c>
      <c r="AA42" s="255">
        <f t="shared" si="84"/>
        <v>29705.10800190271</v>
      </c>
      <c r="AB42" s="255">
        <f t="shared" si="84"/>
        <v>31453.917823252756</v>
      </c>
      <c r="AC42" s="255">
        <f t="shared" si="84"/>
        <v>33225.383720812228</v>
      </c>
      <c r="AD42" s="255">
        <f t="shared" si="84"/>
        <v>35019.958816105267</v>
      </c>
      <c r="AE42" s="255">
        <f t="shared" si="84"/>
        <v>36838.10529308657</v>
      </c>
      <c r="AF42" s="255">
        <f t="shared" si="84"/>
        <v>38680.294579389898</v>
      </c>
      <c r="AG42" s="255">
        <f t="shared" si="84"/>
        <v>40547.007531201685</v>
      </c>
      <c r="AH42" s="255">
        <f t="shared" si="84"/>
        <v>42438.734621832133</v>
      </c>
      <c r="AI42" s="255">
        <f t="shared" ref="AI42:AZ42" si="85">AI40</f>
        <v>30991.112963959418</v>
      </c>
      <c r="AJ42" s="255">
        <f t="shared" si="85"/>
        <v>31600.935223238612</v>
      </c>
      <c r="AK42" s="255">
        <f t="shared" si="85"/>
        <v>32222.953927703387</v>
      </c>
      <c r="AL42" s="255">
        <f t="shared" si="85"/>
        <v>32857.413006257455</v>
      </c>
      <c r="AM42" s="255">
        <f t="shared" si="85"/>
        <v>33504.561266382596</v>
      </c>
      <c r="AN42" s="255">
        <f t="shared" si="85"/>
        <v>34164.652491710251</v>
      </c>
      <c r="AO42" s="255">
        <f t="shared" si="85"/>
        <v>34837.945541544461</v>
      </c>
      <c r="AP42" s="255">
        <v>35524.70445237535</v>
      </c>
      <c r="AQ42" s="255">
        <v>36225.198541422847</v>
      </c>
      <c r="AR42" s="255">
        <v>36939.702512251315</v>
      </c>
      <c r="AS42" s="254">
        <f t="shared" si="85"/>
        <v>37668.496562496337</v>
      </c>
      <c r="AT42" s="254">
        <f t="shared" si="85"/>
        <v>38411.86649374626</v>
      </c>
      <c r="AU42" s="254">
        <f t="shared" si="85"/>
        <v>39170.10382362119</v>
      </c>
      <c r="AV42" s="254">
        <f t="shared" si="85"/>
        <v>39943.505900093623</v>
      </c>
      <c r="AW42" s="254">
        <f t="shared" si="85"/>
        <v>40732.376018095485</v>
      </c>
      <c r="AX42" s="254">
        <f t="shared" si="85"/>
        <v>41537.023538457404</v>
      </c>
      <c r="AY42" s="254">
        <f t="shared" si="85"/>
        <v>42357.764009226536</v>
      </c>
      <c r="AZ42" s="254">
        <f t="shared" si="85"/>
        <v>43194.919289411067</v>
      </c>
    </row>
    <row r="43" spans="2:52" ht="20" customHeight="1" outlineLevel="1" x14ac:dyDescent="0.25">
      <c r="B43" s="256" t="s">
        <v>163</v>
      </c>
      <c r="C43" s="257">
        <f>C42-C40</f>
        <v>0</v>
      </c>
      <c r="D43" s="257">
        <f t="shared" si="62"/>
        <v>0</v>
      </c>
      <c r="E43" s="257">
        <f t="shared" ref="E43:L43" si="86">E42-E40</f>
        <v>0</v>
      </c>
      <c r="F43" s="257">
        <f t="shared" si="86"/>
        <v>0</v>
      </c>
      <c r="G43" s="257">
        <f t="shared" si="86"/>
        <v>0</v>
      </c>
      <c r="H43" s="257">
        <f t="shared" si="86"/>
        <v>0</v>
      </c>
      <c r="I43" s="257">
        <f t="shared" si="86"/>
        <v>0</v>
      </c>
      <c r="J43" s="257">
        <f t="shared" si="86"/>
        <v>0</v>
      </c>
      <c r="K43" s="257">
        <f t="shared" si="86"/>
        <v>0</v>
      </c>
      <c r="L43" s="257">
        <f t="shared" si="86"/>
        <v>0</v>
      </c>
      <c r="M43" s="257">
        <f t="shared" si="81"/>
        <v>0</v>
      </c>
      <c r="N43" s="257">
        <f t="shared" si="72"/>
        <v>0</v>
      </c>
      <c r="O43" s="257">
        <f t="shared" si="72"/>
        <v>0</v>
      </c>
      <c r="P43" s="257">
        <f t="shared" si="72"/>
        <v>0</v>
      </c>
      <c r="Q43" s="257">
        <f t="shared" si="72"/>
        <v>0</v>
      </c>
      <c r="R43" s="257">
        <f t="shared" si="72"/>
        <v>0</v>
      </c>
      <c r="S43" s="257">
        <f t="shared" si="72"/>
        <v>0</v>
      </c>
      <c r="T43" s="257">
        <f t="shared" si="72"/>
        <v>0</v>
      </c>
      <c r="U43" s="257">
        <f t="shared" si="72"/>
        <v>0</v>
      </c>
      <c r="V43" s="257">
        <f t="shared" si="72"/>
        <v>0</v>
      </c>
      <c r="W43" s="257">
        <f t="shared" si="72"/>
        <v>0</v>
      </c>
      <c r="X43" s="257">
        <f t="shared" si="72"/>
        <v>0</v>
      </c>
      <c r="Y43" s="257">
        <f t="shared" si="72"/>
        <v>0</v>
      </c>
      <c r="Z43" s="257">
        <f t="shared" si="72"/>
        <v>0</v>
      </c>
      <c r="AA43" s="257">
        <f t="shared" si="72"/>
        <v>0</v>
      </c>
      <c r="AB43" s="257">
        <f t="shared" si="72"/>
        <v>0</v>
      </c>
      <c r="AC43" s="257">
        <f t="shared" si="72"/>
        <v>0</v>
      </c>
      <c r="AD43" s="257">
        <f t="shared" si="72"/>
        <v>0</v>
      </c>
      <c r="AE43" s="257">
        <f t="shared" si="72"/>
        <v>0</v>
      </c>
      <c r="AF43" s="257">
        <f t="shared" si="72"/>
        <v>0</v>
      </c>
      <c r="AG43" s="257">
        <f t="shared" si="72"/>
        <v>0</v>
      </c>
      <c r="AH43" s="257">
        <f t="shared" si="72"/>
        <v>0</v>
      </c>
      <c r="AI43" s="257">
        <f t="shared" ref="AI43:AZ43" si="87">AI42-AI40</f>
        <v>0</v>
      </c>
      <c r="AJ43" s="257">
        <f t="shared" si="87"/>
        <v>0</v>
      </c>
      <c r="AK43" s="257">
        <f t="shared" si="87"/>
        <v>0</v>
      </c>
      <c r="AL43" s="257">
        <f t="shared" si="87"/>
        <v>0</v>
      </c>
      <c r="AM43" s="257">
        <f t="shared" si="87"/>
        <v>0</v>
      </c>
      <c r="AN43" s="257">
        <f t="shared" si="87"/>
        <v>0</v>
      </c>
      <c r="AO43" s="257">
        <f t="shared" si="87"/>
        <v>0</v>
      </c>
      <c r="AP43" s="257">
        <f t="shared" si="87"/>
        <v>0</v>
      </c>
      <c r="AQ43" s="257">
        <f t="shared" si="87"/>
        <v>0</v>
      </c>
      <c r="AR43" s="257">
        <f t="shared" si="87"/>
        <v>0</v>
      </c>
      <c r="AS43" s="257">
        <f t="shared" si="87"/>
        <v>0</v>
      </c>
      <c r="AT43" s="257">
        <f t="shared" si="87"/>
        <v>0</v>
      </c>
      <c r="AU43" s="257">
        <f t="shared" si="87"/>
        <v>0</v>
      </c>
      <c r="AV43" s="257">
        <f t="shared" si="87"/>
        <v>0</v>
      </c>
      <c r="AW43" s="257">
        <f t="shared" si="87"/>
        <v>0</v>
      </c>
      <c r="AX43" s="257">
        <f t="shared" si="87"/>
        <v>0</v>
      </c>
      <c r="AY43" s="257">
        <f t="shared" si="87"/>
        <v>0</v>
      </c>
      <c r="AZ43" s="257">
        <f t="shared" si="87"/>
        <v>0</v>
      </c>
    </row>
    <row r="44" spans="2:52" ht="20" customHeight="1" outlineLevel="1" x14ac:dyDescent="0.25">
      <c r="B44" s="298" t="s">
        <v>177</v>
      </c>
      <c r="C44" s="255">
        <f t="shared" ref="C44:AH44" si="88">C42</f>
        <v>-39663.98486490002</v>
      </c>
      <c r="D44" s="255">
        <f t="shared" si="88"/>
        <v>-56640.221414700049</v>
      </c>
      <c r="E44" s="255">
        <f t="shared" si="88"/>
        <v>-5885.6045698800117</v>
      </c>
      <c r="F44" s="255">
        <f t="shared" si="88"/>
        <v>-396.15666644000521</v>
      </c>
      <c r="G44" s="255">
        <f t="shared" si="88"/>
        <v>1509.2577696959895</v>
      </c>
      <c r="H44" s="255">
        <f t="shared" si="88"/>
        <v>2850.3888037299125</v>
      </c>
      <c r="I44" s="255">
        <f t="shared" si="88"/>
        <v>4206.7667275734766</v>
      </c>
      <c r="J44" s="255">
        <f t="shared" si="88"/>
        <v>5578.696479022864</v>
      </c>
      <c r="K44" s="255">
        <f t="shared" si="88"/>
        <v>6966.4890946301894</v>
      </c>
      <c r="L44" s="255">
        <f t="shared" si="88"/>
        <v>8370.46183167864</v>
      </c>
      <c r="M44" s="255">
        <f t="shared" si="88"/>
        <v>9790.9382925970131</v>
      </c>
      <c r="N44" s="255">
        <f t="shared" si="88"/>
        <v>11228.248551862716</v>
      </c>
      <c r="O44" s="255">
        <f t="shared" si="88"/>
        <v>-12405.381436396652</v>
      </c>
      <c r="P44" s="255">
        <f t="shared" si="88"/>
        <v>-9795.3806510709692</v>
      </c>
      <c r="Q44" s="255">
        <f t="shared" si="88"/>
        <v>-7163.0496638995901</v>
      </c>
      <c r="R44" s="255">
        <f t="shared" si="88"/>
        <v>-4507.9418708455778</v>
      </c>
      <c r="S44" s="255">
        <f t="shared" si="88"/>
        <v>-1829.6017357913151</v>
      </c>
      <c r="T44" s="255">
        <f t="shared" si="88"/>
        <v>18061.569781106624</v>
      </c>
      <c r="U44" s="255">
        <f t="shared" si="88"/>
        <v>19663.749679563967</v>
      </c>
      <c r="V44" s="255">
        <f t="shared" si="88"/>
        <v>21285.653055772833</v>
      </c>
      <c r="W44" s="255">
        <f t="shared" si="88"/>
        <v>22927.674379288292</v>
      </c>
      <c r="X44" s="255">
        <f t="shared" si="88"/>
        <v>24590.216009056472</v>
      </c>
      <c r="Y44" s="255">
        <f t="shared" si="88"/>
        <v>26273.688351202392</v>
      </c>
      <c r="Z44" s="255">
        <f t="shared" si="88"/>
        <v>27978.510019973648</v>
      </c>
      <c r="AA44" s="255">
        <f t="shared" si="88"/>
        <v>29705.10800190271</v>
      </c>
      <c r="AB44" s="255">
        <f t="shared" si="88"/>
        <v>31453.917823252756</v>
      </c>
      <c r="AC44" s="255">
        <f t="shared" si="88"/>
        <v>33225.383720812228</v>
      </c>
      <c r="AD44" s="255">
        <f t="shared" si="88"/>
        <v>35019.958816105267</v>
      </c>
      <c r="AE44" s="255">
        <f t="shared" si="88"/>
        <v>36838.10529308657</v>
      </c>
      <c r="AF44" s="255">
        <f t="shared" si="88"/>
        <v>38680.294579389898</v>
      </c>
      <c r="AG44" s="255">
        <f t="shared" si="88"/>
        <v>40547.007531201685</v>
      </c>
      <c r="AH44" s="255">
        <f t="shared" si="88"/>
        <v>42438.734621832133</v>
      </c>
      <c r="AI44" s="255">
        <f t="shared" ref="AI44:AZ44" si="89">AI42</f>
        <v>30991.112963959418</v>
      </c>
      <c r="AJ44" s="255">
        <f t="shared" si="89"/>
        <v>31600.935223238612</v>
      </c>
      <c r="AK44" s="255">
        <f t="shared" si="89"/>
        <v>32222.953927703387</v>
      </c>
      <c r="AL44" s="255">
        <f t="shared" si="89"/>
        <v>32857.413006257455</v>
      </c>
      <c r="AM44" s="255">
        <f t="shared" si="89"/>
        <v>33504.561266382596</v>
      </c>
      <c r="AN44" s="255">
        <f t="shared" si="89"/>
        <v>34164.652491710251</v>
      </c>
      <c r="AO44" s="255">
        <f t="shared" si="89"/>
        <v>34837.945541544461</v>
      </c>
      <c r="AP44" s="255">
        <f t="shared" si="89"/>
        <v>35524.70445237535</v>
      </c>
      <c r="AQ44" s="255">
        <f t="shared" si="89"/>
        <v>36225.198541422847</v>
      </c>
      <c r="AR44" s="255">
        <f t="shared" si="89"/>
        <v>36939.702512251315</v>
      </c>
      <c r="AS44" s="255">
        <v>37668.496562496337</v>
      </c>
      <c r="AT44" s="255">
        <v>38411.86649374626</v>
      </c>
      <c r="AU44" s="255">
        <v>39170.10382362119</v>
      </c>
      <c r="AV44" s="254">
        <f t="shared" si="89"/>
        <v>39943.505900093623</v>
      </c>
      <c r="AW44" s="254">
        <f t="shared" si="89"/>
        <v>40732.376018095485</v>
      </c>
      <c r="AX44" s="254">
        <f t="shared" si="89"/>
        <v>41537.023538457404</v>
      </c>
      <c r="AY44" s="254">
        <f t="shared" si="89"/>
        <v>42357.764009226536</v>
      </c>
      <c r="AZ44" s="254">
        <f t="shared" si="89"/>
        <v>43194.919289411067</v>
      </c>
    </row>
    <row r="45" spans="2:52" ht="20" customHeight="1" outlineLevel="1" x14ac:dyDescent="0.25">
      <c r="B45" s="256" t="s">
        <v>163</v>
      </c>
      <c r="C45" s="257">
        <f>C44-C42</f>
        <v>0</v>
      </c>
      <c r="D45" s="257">
        <f t="shared" ref="D45:L45" si="90">D44-D42</f>
        <v>0</v>
      </c>
      <c r="E45" s="257">
        <f t="shared" si="90"/>
        <v>0</v>
      </c>
      <c r="F45" s="257">
        <f t="shared" si="90"/>
        <v>0</v>
      </c>
      <c r="G45" s="257">
        <f t="shared" si="90"/>
        <v>0</v>
      </c>
      <c r="H45" s="257">
        <f t="shared" si="90"/>
        <v>0</v>
      </c>
      <c r="I45" s="257">
        <f t="shared" si="90"/>
        <v>0</v>
      </c>
      <c r="J45" s="257">
        <f t="shared" si="90"/>
        <v>0</v>
      </c>
      <c r="K45" s="257">
        <f t="shared" si="90"/>
        <v>0</v>
      </c>
      <c r="L45" s="257">
        <f t="shared" si="90"/>
        <v>0</v>
      </c>
      <c r="M45" s="257">
        <f t="shared" si="81"/>
        <v>0</v>
      </c>
      <c r="N45" s="257">
        <f t="shared" si="81"/>
        <v>0</v>
      </c>
      <c r="O45" s="257">
        <f t="shared" si="81"/>
        <v>0</v>
      </c>
      <c r="P45" s="257">
        <f t="shared" si="81"/>
        <v>0</v>
      </c>
      <c r="Q45" s="257">
        <f t="shared" si="81"/>
        <v>0</v>
      </c>
      <c r="R45" s="257">
        <f t="shared" si="81"/>
        <v>0</v>
      </c>
      <c r="S45" s="257">
        <f t="shared" si="81"/>
        <v>0</v>
      </c>
      <c r="T45" s="257">
        <f t="shared" si="81"/>
        <v>0</v>
      </c>
      <c r="U45" s="257">
        <f t="shared" si="81"/>
        <v>0</v>
      </c>
      <c r="V45" s="257">
        <f t="shared" si="81"/>
        <v>0</v>
      </c>
      <c r="W45" s="257">
        <f t="shared" si="81"/>
        <v>0</v>
      </c>
      <c r="X45" s="257">
        <f t="shared" si="81"/>
        <v>0</v>
      </c>
      <c r="Y45" s="257">
        <f t="shared" si="81"/>
        <v>0</v>
      </c>
      <c r="Z45" s="257">
        <f t="shared" si="81"/>
        <v>0</v>
      </c>
      <c r="AA45" s="257">
        <f t="shared" si="81"/>
        <v>0</v>
      </c>
      <c r="AB45" s="257">
        <f t="shared" si="81"/>
        <v>0</v>
      </c>
      <c r="AC45" s="257">
        <f t="shared" si="81"/>
        <v>0</v>
      </c>
      <c r="AD45" s="257">
        <f t="shared" si="81"/>
        <v>0</v>
      </c>
      <c r="AE45" s="257">
        <f t="shared" si="81"/>
        <v>0</v>
      </c>
      <c r="AF45" s="257">
        <f t="shared" si="81"/>
        <v>0</v>
      </c>
      <c r="AG45" s="257">
        <f t="shared" si="81"/>
        <v>0</v>
      </c>
      <c r="AH45" s="257">
        <f t="shared" si="81"/>
        <v>0</v>
      </c>
      <c r="AI45" s="257">
        <f t="shared" si="81"/>
        <v>0</v>
      </c>
      <c r="AJ45" s="257">
        <f t="shared" si="81"/>
        <v>0</v>
      </c>
      <c r="AK45" s="257">
        <f t="shared" si="81"/>
        <v>0</v>
      </c>
      <c r="AL45" s="257">
        <f t="shared" si="81"/>
        <v>0</v>
      </c>
      <c r="AM45" s="257">
        <f t="shared" si="81"/>
        <v>0</v>
      </c>
      <c r="AN45" s="257">
        <f t="shared" si="81"/>
        <v>0</v>
      </c>
      <c r="AO45" s="257">
        <f t="shared" si="81"/>
        <v>0</v>
      </c>
      <c r="AP45" s="257">
        <f t="shared" si="81"/>
        <v>0</v>
      </c>
      <c r="AQ45" s="257">
        <f t="shared" si="81"/>
        <v>0</v>
      </c>
      <c r="AR45" s="257">
        <f t="shared" si="81"/>
        <v>0</v>
      </c>
      <c r="AS45" s="257">
        <f t="shared" si="81"/>
        <v>0</v>
      </c>
      <c r="AT45" s="257">
        <f t="shared" si="81"/>
        <v>0</v>
      </c>
      <c r="AU45" s="257">
        <f t="shared" si="81"/>
        <v>0</v>
      </c>
      <c r="AV45" s="257">
        <f t="shared" si="81"/>
        <v>0</v>
      </c>
      <c r="AW45" s="257">
        <f t="shared" si="81"/>
        <v>0</v>
      </c>
      <c r="AX45" s="257">
        <f t="shared" si="81"/>
        <v>0</v>
      </c>
      <c r="AY45" s="257">
        <f t="shared" si="81"/>
        <v>0</v>
      </c>
      <c r="AZ45" s="257">
        <f t="shared" si="81"/>
        <v>0</v>
      </c>
    </row>
    <row r="46" spans="2:52" ht="20" customHeight="1" outlineLevel="1" x14ac:dyDescent="0.25">
      <c r="B46" s="298" t="s">
        <v>178</v>
      </c>
      <c r="C46" s="255">
        <f t="shared" ref="C46:AH46" si="91">C44</f>
        <v>-39663.98486490002</v>
      </c>
      <c r="D46" s="255">
        <f t="shared" si="91"/>
        <v>-56640.221414700049</v>
      </c>
      <c r="E46" s="255">
        <f t="shared" si="91"/>
        <v>-5885.6045698800117</v>
      </c>
      <c r="F46" s="255">
        <f t="shared" si="91"/>
        <v>-396.15666644000521</v>
      </c>
      <c r="G46" s="255">
        <f t="shared" si="91"/>
        <v>1509.2577696959895</v>
      </c>
      <c r="H46" s="255">
        <f t="shared" si="91"/>
        <v>2850.3888037299125</v>
      </c>
      <c r="I46" s="255">
        <f t="shared" si="91"/>
        <v>4206.7667275734766</v>
      </c>
      <c r="J46" s="255">
        <f t="shared" si="91"/>
        <v>5578.696479022864</v>
      </c>
      <c r="K46" s="255">
        <f t="shared" si="91"/>
        <v>6966.4890946301894</v>
      </c>
      <c r="L46" s="255">
        <f t="shared" si="91"/>
        <v>8370.46183167864</v>
      </c>
      <c r="M46" s="255">
        <f t="shared" si="91"/>
        <v>9790.9382925970131</v>
      </c>
      <c r="N46" s="255">
        <f t="shared" si="91"/>
        <v>11228.248551862716</v>
      </c>
      <c r="O46" s="255">
        <f t="shared" si="91"/>
        <v>-12405.381436396652</v>
      </c>
      <c r="P46" s="255">
        <f t="shared" si="91"/>
        <v>-9795.3806510709692</v>
      </c>
      <c r="Q46" s="255">
        <f t="shared" si="91"/>
        <v>-7163.0496638995901</v>
      </c>
      <c r="R46" s="255">
        <f t="shared" si="91"/>
        <v>-4507.9418708455778</v>
      </c>
      <c r="S46" s="255">
        <f t="shared" si="91"/>
        <v>-1829.6017357913151</v>
      </c>
      <c r="T46" s="255">
        <f t="shared" si="91"/>
        <v>18061.569781106624</v>
      </c>
      <c r="U46" s="255">
        <f t="shared" si="91"/>
        <v>19663.749679563967</v>
      </c>
      <c r="V46" s="255">
        <f t="shared" si="91"/>
        <v>21285.653055772833</v>
      </c>
      <c r="W46" s="255">
        <f t="shared" si="91"/>
        <v>22927.674379288292</v>
      </c>
      <c r="X46" s="255">
        <f t="shared" si="91"/>
        <v>24590.216009056472</v>
      </c>
      <c r="Y46" s="255">
        <f t="shared" si="91"/>
        <v>26273.688351202392</v>
      </c>
      <c r="Z46" s="255">
        <f t="shared" si="91"/>
        <v>27978.510019973648</v>
      </c>
      <c r="AA46" s="255">
        <f t="shared" si="91"/>
        <v>29705.10800190271</v>
      </c>
      <c r="AB46" s="255">
        <f t="shared" si="91"/>
        <v>31453.917823252756</v>
      </c>
      <c r="AC46" s="255">
        <f t="shared" si="91"/>
        <v>33225.383720812228</v>
      </c>
      <c r="AD46" s="255">
        <f t="shared" si="91"/>
        <v>35019.958816105267</v>
      </c>
      <c r="AE46" s="255">
        <f t="shared" si="91"/>
        <v>36838.10529308657</v>
      </c>
      <c r="AF46" s="255">
        <f t="shared" si="91"/>
        <v>38680.294579389898</v>
      </c>
      <c r="AG46" s="255">
        <f t="shared" si="91"/>
        <v>40547.007531201685</v>
      </c>
      <c r="AH46" s="255">
        <f t="shared" si="91"/>
        <v>42438.734621832133</v>
      </c>
      <c r="AI46" s="255">
        <f t="shared" ref="AI46:AZ46" si="92">AI44</f>
        <v>30991.112963959418</v>
      </c>
      <c r="AJ46" s="255">
        <f t="shared" si="92"/>
        <v>31600.935223238612</v>
      </c>
      <c r="AK46" s="255">
        <f t="shared" si="92"/>
        <v>32222.953927703387</v>
      </c>
      <c r="AL46" s="255">
        <f t="shared" si="92"/>
        <v>32857.413006257455</v>
      </c>
      <c r="AM46" s="255">
        <f t="shared" si="92"/>
        <v>33504.561266382596</v>
      </c>
      <c r="AN46" s="255">
        <f t="shared" si="92"/>
        <v>34164.652491710251</v>
      </c>
      <c r="AO46" s="255">
        <f t="shared" si="92"/>
        <v>34837.945541544461</v>
      </c>
      <c r="AP46" s="255">
        <f t="shared" si="92"/>
        <v>35524.70445237535</v>
      </c>
      <c r="AQ46" s="255">
        <f t="shared" si="92"/>
        <v>36225.198541422847</v>
      </c>
      <c r="AR46" s="255">
        <f t="shared" si="92"/>
        <v>36939.702512251315</v>
      </c>
      <c r="AS46" s="255">
        <f t="shared" si="92"/>
        <v>37668.496562496337</v>
      </c>
      <c r="AT46" s="255">
        <f t="shared" si="92"/>
        <v>38411.86649374626</v>
      </c>
      <c r="AU46" s="255">
        <f t="shared" si="92"/>
        <v>39170.10382362119</v>
      </c>
      <c r="AV46" s="255">
        <v>39943.505900093623</v>
      </c>
      <c r="AW46" s="255">
        <v>40732.376018095485</v>
      </c>
      <c r="AX46" s="255">
        <v>41537.023538457404</v>
      </c>
      <c r="AY46" s="254">
        <f t="shared" si="92"/>
        <v>42357.764009226536</v>
      </c>
      <c r="AZ46" s="254">
        <f t="shared" si="92"/>
        <v>43194.919289411067</v>
      </c>
    </row>
    <row r="47" spans="2:52" ht="20" customHeight="1" outlineLevel="1" x14ac:dyDescent="0.25">
      <c r="B47" s="256" t="s">
        <v>163</v>
      </c>
      <c r="C47" s="257">
        <f>C46-C44</f>
        <v>0</v>
      </c>
      <c r="D47" s="257">
        <f t="shared" ref="D47:L47" si="93">D46-D44</f>
        <v>0</v>
      </c>
      <c r="E47" s="257">
        <f t="shared" si="93"/>
        <v>0</v>
      </c>
      <c r="F47" s="257">
        <f t="shared" si="93"/>
        <v>0</v>
      </c>
      <c r="G47" s="257">
        <f t="shared" si="93"/>
        <v>0</v>
      </c>
      <c r="H47" s="257">
        <f t="shared" si="93"/>
        <v>0</v>
      </c>
      <c r="I47" s="257">
        <f t="shared" si="93"/>
        <v>0</v>
      </c>
      <c r="J47" s="257">
        <f t="shared" si="93"/>
        <v>0</v>
      </c>
      <c r="K47" s="257">
        <f t="shared" si="93"/>
        <v>0</v>
      </c>
      <c r="L47" s="257">
        <f t="shared" si="93"/>
        <v>0</v>
      </c>
      <c r="M47" s="257">
        <f t="shared" si="81"/>
        <v>0</v>
      </c>
      <c r="N47" s="257">
        <f t="shared" si="81"/>
        <v>0</v>
      </c>
      <c r="O47" s="257">
        <f t="shared" si="81"/>
        <v>0</v>
      </c>
      <c r="P47" s="257">
        <f t="shared" si="81"/>
        <v>0</v>
      </c>
      <c r="Q47" s="257">
        <f t="shared" si="81"/>
        <v>0</v>
      </c>
      <c r="R47" s="257">
        <f t="shared" si="81"/>
        <v>0</v>
      </c>
      <c r="S47" s="257">
        <f t="shared" si="81"/>
        <v>0</v>
      </c>
      <c r="T47" s="257">
        <f t="shared" si="81"/>
        <v>0</v>
      </c>
      <c r="U47" s="257">
        <f t="shared" si="81"/>
        <v>0</v>
      </c>
      <c r="V47" s="257">
        <f t="shared" si="81"/>
        <v>0</v>
      </c>
      <c r="W47" s="257">
        <f t="shared" si="81"/>
        <v>0</v>
      </c>
      <c r="X47" s="257">
        <f t="shared" si="81"/>
        <v>0</v>
      </c>
      <c r="Y47" s="257">
        <f t="shared" si="81"/>
        <v>0</v>
      </c>
      <c r="Z47" s="257">
        <f t="shared" si="81"/>
        <v>0</v>
      </c>
      <c r="AA47" s="257">
        <f t="shared" si="81"/>
        <v>0</v>
      </c>
      <c r="AB47" s="257">
        <f t="shared" si="81"/>
        <v>0</v>
      </c>
      <c r="AC47" s="257">
        <f t="shared" si="81"/>
        <v>0</v>
      </c>
      <c r="AD47" s="257">
        <f t="shared" si="81"/>
        <v>0</v>
      </c>
      <c r="AE47" s="257">
        <f t="shared" si="81"/>
        <v>0</v>
      </c>
      <c r="AF47" s="257">
        <f t="shared" si="81"/>
        <v>0</v>
      </c>
      <c r="AG47" s="257">
        <f t="shared" si="81"/>
        <v>0</v>
      </c>
      <c r="AH47" s="257">
        <f t="shared" si="81"/>
        <v>0</v>
      </c>
      <c r="AI47" s="257">
        <f t="shared" si="81"/>
        <v>0</v>
      </c>
      <c r="AJ47" s="257">
        <f t="shared" si="81"/>
        <v>0</v>
      </c>
      <c r="AK47" s="257">
        <f t="shared" si="81"/>
        <v>0</v>
      </c>
      <c r="AL47" s="257">
        <f t="shared" si="81"/>
        <v>0</v>
      </c>
      <c r="AM47" s="257">
        <f t="shared" si="81"/>
        <v>0</v>
      </c>
      <c r="AN47" s="257">
        <f t="shared" si="81"/>
        <v>0</v>
      </c>
      <c r="AO47" s="257">
        <f t="shared" si="81"/>
        <v>0</v>
      </c>
      <c r="AP47" s="257">
        <f t="shared" si="81"/>
        <v>0</v>
      </c>
      <c r="AQ47" s="257">
        <f t="shared" si="81"/>
        <v>0</v>
      </c>
      <c r="AR47" s="257">
        <f t="shared" si="81"/>
        <v>0</v>
      </c>
      <c r="AS47" s="257">
        <f t="shared" si="81"/>
        <v>0</v>
      </c>
      <c r="AT47" s="257">
        <f t="shared" si="81"/>
        <v>0</v>
      </c>
      <c r="AU47" s="257">
        <f t="shared" si="81"/>
        <v>0</v>
      </c>
      <c r="AV47" s="257">
        <f t="shared" si="81"/>
        <v>0</v>
      </c>
      <c r="AW47" s="257">
        <f t="shared" si="81"/>
        <v>0</v>
      </c>
      <c r="AX47" s="257">
        <f t="shared" si="81"/>
        <v>0</v>
      </c>
      <c r="AY47" s="257">
        <f t="shared" si="81"/>
        <v>0</v>
      </c>
      <c r="AZ47" s="257">
        <f t="shared" si="81"/>
        <v>0</v>
      </c>
    </row>
    <row r="48" spans="2:52" ht="20" customHeight="1" outlineLevel="1" x14ac:dyDescent="0.25">
      <c r="B48" s="298" t="s">
        <v>179</v>
      </c>
      <c r="C48" s="255">
        <f t="shared" ref="C48:AH48" si="94">C46</f>
        <v>-39663.98486490002</v>
      </c>
      <c r="D48" s="255">
        <f t="shared" si="94"/>
        <v>-56640.221414700049</v>
      </c>
      <c r="E48" s="255">
        <f t="shared" si="94"/>
        <v>-5885.6045698800117</v>
      </c>
      <c r="F48" s="255">
        <f t="shared" si="94"/>
        <v>-396.15666644000521</v>
      </c>
      <c r="G48" s="255">
        <f t="shared" si="94"/>
        <v>1509.2577696959895</v>
      </c>
      <c r="H48" s="255">
        <f t="shared" si="94"/>
        <v>2850.3888037299125</v>
      </c>
      <c r="I48" s="255">
        <f t="shared" si="94"/>
        <v>4206.7667275734766</v>
      </c>
      <c r="J48" s="255">
        <f t="shared" si="94"/>
        <v>5578.696479022864</v>
      </c>
      <c r="K48" s="255">
        <f t="shared" si="94"/>
        <v>6966.4890946301894</v>
      </c>
      <c r="L48" s="255">
        <f t="shared" si="94"/>
        <v>8370.46183167864</v>
      </c>
      <c r="M48" s="255">
        <f t="shared" si="94"/>
        <v>9790.9382925970131</v>
      </c>
      <c r="N48" s="255">
        <f t="shared" si="94"/>
        <v>11228.248551862716</v>
      </c>
      <c r="O48" s="255">
        <f t="shared" si="94"/>
        <v>-12405.381436396652</v>
      </c>
      <c r="P48" s="255">
        <f t="shared" si="94"/>
        <v>-9795.3806510709692</v>
      </c>
      <c r="Q48" s="255">
        <f t="shared" si="94"/>
        <v>-7163.0496638995901</v>
      </c>
      <c r="R48" s="255">
        <f t="shared" si="94"/>
        <v>-4507.9418708455778</v>
      </c>
      <c r="S48" s="255">
        <f t="shared" si="94"/>
        <v>-1829.6017357913151</v>
      </c>
      <c r="T48" s="255">
        <f t="shared" si="94"/>
        <v>18061.569781106624</v>
      </c>
      <c r="U48" s="255">
        <f t="shared" si="94"/>
        <v>19663.749679563967</v>
      </c>
      <c r="V48" s="255">
        <f t="shared" si="94"/>
        <v>21285.653055772833</v>
      </c>
      <c r="W48" s="255">
        <f t="shared" si="94"/>
        <v>22927.674379288292</v>
      </c>
      <c r="X48" s="255">
        <f t="shared" si="94"/>
        <v>24590.216009056472</v>
      </c>
      <c r="Y48" s="255">
        <f t="shared" si="94"/>
        <v>26273.688351202392</v>
      </c>
      <c r="Z48" s="255">
        <f t="shared" si="94"/>
        <v>27978.510019973648</v>
      </c>
      <c r="AA48" s="255">
        <f t="shared" si="94"/>
        <v>29705.10800190271</v>
      </c>
      <c r="AB48" s="255">
        <f t="shared" si="94"/>
        <v>31453.917823252756</v>
      </c>
      <c r="AC48" s="255">
        <f t="shared" si="94"/>
        <v>33225.383720812228</v>
      </c>
      <c r="AD48" s="255">
        <f t="shared" si="94"/>
        <v>35019.958816105267</v>
      </c>
      <c r="AE48" s="255">
        <f t="shared" si="94"/>
        <v>36838.10529308657</v>
      </c>
      <c r="AF48" s="255">
        <f t="shared" si="94"/>
        <v>38680.294579389898</v>
      </c>
      <c r="AG48" s="255">
        <f t="shared" si="94"/>
        <v>40547.007531201685</v>
      </c>
      <c r="AH48" s="255">
        <f t="shared" si="94"/>
        <v>42438.734621832133</v>
      </c>
      <c r="AI48" s="255">
        <f t="shared" ref="AI48:AX48" si="95">AI46</f>
        <v>30991.112963959418</v>
      </c>
      <c r="AJ48" s="255">
        <f t="shared" si="95"/>
        <v>31600.935223238612</v>
      </c>
      <c r="AK48" s="255">
        <f t="shared" si="95"/>
        <v>32222.953927703387</v>
      </c>
      <c r="AL48" s="255">
        <f t="shared" si="95"/>
        <v>32857.413006257455</v>
      </c>
      <c r="AM48" s="255">
        <f t="shared" si="95"/>
        <v>33504.561266382596</v>
      </c>
      <c r="AN48" s="255">
        <f t="shared" si="95"/>
        <v>34164.652491710251</v>
      </c>
      <c r="AO48" s="255">
        <f t="shared" si="95"/>
        <v>34837.945541544461</v>
      </c>
      <c r="AP48" s="255">
        <f t="shared" si="95"/>
        <v>35524.70445237535</v>
      </c>
      <c r="AQ48" s="255">
        <f t="shared" si="95"/>
        <v>36225.198541422847</v>
      </c>
      <c r="AR48" s="255">
        <f t="shared" si="95"/>
        <v>36939.702512251315</v>
      </c>
      <c r="AS48" s="255">
        <f t="shared" si="95"/>
        <v>37668.496562496337</v>
      </c>
      <c r="AT48" s="255">
        <f t="shared" si="95"/>
        <v>38411.86649374626</v>
      </c>
      <c r="AU48" s="255">
        <f t="shared" si="95"/>
        <v>39170.10382362119</v>
      </c>
      <c r="AV48" s="255">
        <f t="shared" si="95"/>
        <v>39943.505900093623</v>
      </c>
      <c r="AW48" s="255">
        <f t="shared" si="95"/>
        <v>40732.376018095485</v>
      </c>
      <c r="AX48" s="255">
        <f t="shared" si="95"/>
        <v>41537.023538457404</v>
      </c>
      <c r="AY48" s="255">
        <v>42357.764009226536</v>
      </c>
      <c r="AZ48" s="255">
        <v>43194.919289411067</v>
      </c>
    </row>
    <row r="49" spans="2:52" ht="20" customHeight="1" outlineLevel="1" x14ac:dyDescent="0.25">
      <c r="B49" s="256" t="s">
        <v>163</v>
      </c>
      <c r="C49" s="257">
        <f>C48-C46</f>
        <v>0</v>
      </c>
      <c r="D49" s="257">
        <f t="shared" ref="D49:L49" si="96">D48-D46</f>
        <v>0</v>
      </c>
      <c r="E49" s="257">
        <f t="shared" si="96"/>
        <v>0</v>
      </c>
      <c r="F49" s="257">
        <f t="shared" si="96"/>
        <v>0</v>
      </c>
      <c r="G49" s="257">
        <f t="shared" si="96"/>
        <v>0</v>
      </c>
      <c r="H49" s="257">
        <f t="shared" si="96"/>
        <v>0</v>
      </c>
      <c r="I49" s="257">
        <f t="shared" si="96"/>
        <v>0</v>
      </c>
      <c r="J49" s="257">
        <f t="shared" si="96"/>
        <v>0</v>
      </c>
      <c r="K49" s="257">
        <f t="shared" si="96"/>
        <v>0</v>
      </c>
      <c r="L49" s="257">
        <f t="shared" si="96"/>
        <v>0</v>
      </c>
      <c r="M49" s="257">
        <f t="shared" si="81"/>
        <v>0</v>
      </c>
      <c r="N49" s="257">
        <f t="shared" si="81"/>
        <v>0</v>
      </c>
      <c r="O49" s="257">
        <f t="shared" si="81"/>
        <v>0</v>
      </c>
      <c r="P49" s="257">
        <f t="shared" si="81"/>
        <v>0</v>
      </c>
      <c r="Q49" s="257">
        <f t="shared" si="81"/>
        <v>0</v>
      </c>
      <c r="R49" s="257">
        <f t="shared" si="81"/>
        <v>0</v>
      </c>
      <c r="S49" s="257">
        <f t="shared" si="81"/>
        <v>0</v>
      </c>
      <c r="T49" s="257">
        <f t="shared" si="81"/>
        <v>0</v>
      </c>
      <c r="U49" s="257">
        <f t="shared" si="81"/>
        <v>0</v>
      </c>
      <c r="V49" s="257">
        <f t="shared" si="81"/>
        <v>0</v>
      </c>
      <c r="W49" s="257">
        <f t="shared" si="81"/>
        <v>0</v>
      </c>
      <c r="X49" s="257">
        <f t="shared" si="81"/>
        <v>0</v>
      </c>
      <c r="Y49" s="257">
        <f t="shared" si="81"/>
        <v>0</v>
      </c>
      <c r="Z49" s="257">
        <f t="shared" si="81"/>
        <v>0</v>
      </c>
      <c r="AA49" s="257">
        <f t="shared" si="81"/>
        <v>0</v>
      </c>
      <c r="AB49" s="257">
        <f t="shared" si="81"/>
        <v>0</v>
      </c>
      <c r="AC49" s="257">
        <f t="shared" si="81"/>
        <v>0</v>
      </c>
      <c r="AD49" s="257">
        <f t="shared" si="81"/>
        <v>0</v>
      </c>
      <c r="AE49" s="257">
        <f t="shared" si="81"/>
        <v>0</v>
      </c>
      <c r="AF49" s="257">
        <f t="shared" si="81"/>
        <v>0</v>
      </c>
      <c r="AG49" s="257">
        <f t="shared" si="81"/>
        <v>0</v>
      </c>
      <c r="AH49" s="257">
        <f t="shared" si="81"/>
        <v>0</v>
      </c>
      <c r="AI49" s="257">
        <f t="shared" si="81"/>
        <v>0</v>
      </c>
      <c r="AJ49" s="257">
        <f t="shared" si="81"/>
        <v>0</v>
      </c>
      <c r="AK49" s="257">
        <f>AK48-AK46</f>
        <v>0</v>
      </c>
      <c r="AL49" s="257">
        <f t="shared" si="81"/>
        <v>0</v>
      </c>
      <c r="AM49" s="257">
        <f t="shared" si="81"/>
        <v>0</v>
      </c>
      <c r="AN49" s="257">
        <f t="shared" si="81"/>
        <v>0</v>
      </c>
      <c r="AO49" s="257">
        <f t="shared" si="81"/>
        <v>0</v>
      </c>
      <c r="AP49" s="257">
        <f t="shared" si="81"/>
        <v>0</v>
      </c>
      <c r="AQ49" s="257">
        <f t="shared" si="81"/>
        <v>0</v>
      </c>
      <c r="AR49" s="257">
        <f t="shared" si="81"/>
        <v>0</v>
      </c>
      <c r="AS49" s="257">
        <f t="shared" si="81"/>
        <v>0</v>
      </c>
      <c r="AT49" s="257">
        <f t="shared" si="81"/>
        <v>0</v>
      </c>
      <c r="AU49" s="257">
        <f t="shared" si="81"/>
        <v>0</v>
      </c>
      <c r="AV49" s="257">
        <f t="shared" si="81"/>
        <v>0</v>
      </c>
      <c r="AW49" s="257">
        <f t="shared" si="81"/>
        <v>0</v>
      </c>
      <c r="AX49" s="257">
        <f t="shared" si="81"/>
        <v>0</v>
      </c>
      <c r="AY49" s="257">
        <f t="shared" si="81"/>
        <v>0</v>
      </c>
      <c r="AZ49" s="257">
        <f t="shared" si="81"/>
        <v>0</v>
      </c>
    </row>
    <row r="50" spans="2:52" ht="20" customHeight="1" x14ac:dyDescent="0.25">
      <c r="B50" s="256" t="s">
        <v>195</v>
      </c>
      <c r="C50" s="257"/>
      <c r="D50" s="257"/>
      <c r="E50" s="257"/>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row>
    <row r="51" spans="2:52" ht="20" customHeight="1" x14ac:dyDescent="0.25">
      <c r="B51" s="256"/>
      <c r="C51" s="257"/>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row>
    <row r="52" spans="2:52" ht="20" customHeight="1" x14ac:dyDescent="0.25">
      <c r="B52" s="293" t="s">
        <v>157</v>
      </c>
      <c r="C52" s="173" t="s">
        <v>164</v>
      </c>
      <c r="D52" s="173" t="s">
        <v>165</v>
      </c>
      <c r="E52" s="173" t="s">
        <v>166</v>
      </c>
      <c r="F52" s="173" t="s">
        <v>180</v>
      </c>
      <c r="G52" s="173" t="s">
        <v>181</v>
      </c>
      <c r="H52" s="173" t="s">
        <v>182</v>
      </c>
      <c r="I52" s="173" t="s">
        <v>183</v>
      </c>
      <c r="J52" s="173" t="s">
        <v>184</v>
      </c>
      <c r="K52" s="173" t="s">
        <v>185</v>
      </c>
      <c r="L52" s="173" t="s">
        <v>186</v>
      </c>
      <c r="M52" s="173" t="s">
        <v>187</v>
      </c>
      <c r="N52" s="173" t="s">
        <v>188</v>
      </c>
      <c r="O52" s="173" t="s">
        <v>189</v>
      </c>
      <c r="P52" s="173" t="s">
        <v>190</v>
      </c>
      <c r="Q52" s="173" t="s">
        <v>191</v>
      </c>
      <c r="R52" s="173" t="s">
        <v>192</v>
      </c>
      <c r="S52" s="173" t="s">
        <v>193</v>
      </c>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row>
    <row r="53" spans="2:52" ht="20" customHeight="1" x14ac:dyDescent="0.25">
      <c r="B53" s="252" t="s">
        <v>141</v>
      </c>
      <c r="C53" s="253">
        <f>C7</f>
        <v>8.3837877040919176E-2</v>
      </c>
      <c r="D53" s="253">
        <f>C54</f>
        <v>8.5466622565098682E-2</v>
      </c>
      <c r="E53" s="253">
        <f>D54</f>
        <v>8.5466622565098682E-2</v>
      </c>
      <c r="F53" s="253">
        <f t="shared" ref="F53:S53" si="97">E54</f>
        <v>8.5466622565098682E-2</v>
      </c>
      <c r="G53" s="253">
        <f t="shared" si="97"/>
        <v>8.5466622565098682E-2</v>
      </c>
      <c r="H53" s="253">
        <f t="shared" si="97"/>
        <v>8.5466622565098682E-2</v>
      </c>
      <c r="I53" s="253">
        <f t="shared" si="97"/>
        <v>8.5466622565098682E-2</v>
      </c>
      <c r="J53" s="253">
        <f t="shared" si="97"/>
        <v>8.5466622565098682E-2</v>
      </c>
      <c r="K53" s="253">
        <f t="shared" si="97"/>
        <v>8.5466622565098682E-2</v>
      </c>
      <c r="L53" s="253">
        <f t="shared" si="97"/>
        <v>8.5466622565098682E-2</v>
      </c>
      <c r="M53" s="253">
        <f t="shared" si="97"/>
        <v>8.5466622565098682E-2</v>
      </c>
      <c r="N53" s="253">
        <f t="shared" si="97"/>
        <v>8.5466622565098682E-2</v>
      </c>
      <c r="O53" s="253">
        <f t="shared" si="97"/>
        <v>8.5466622565098682E-2</v>
      </c>
      <c r="P53" s="253">
        <f t="shared" si="97"/>
        <v>8.5466622565098682E-2</v>
      </c>
      <c r="Q53" s="253">
        <f t="shared" si="97"/>
        <v>8.5466622565098682E-2</v>
      </c>
      <c r="R53" s="253">
        <f t="shared" si="97"/>
        <v>8.5466622565098682E-2</v>
      </c>
      <c r="S53" s="253">
        <f t="shared" si="97"/>
        <v>8.5466622565098682E-2</v>
      </c>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row>
    <row r="54" spans="2:52" ht="20" customHeight="1" x14ac:dyDescent="0.25">
      <c r="B54" s="252" t="s">
        <v>142</v>
      </c>
      <c r="C54" s="253">
        <f>WACC!E19</f>
        <v>8.5466622565098682E-2</v>
      </c>
      <c r="D54" s="253">
        <f>WACC!F19</f>
        <v>8.5466622565098682E-2</v>
      </c>
      <c r="E54" s="253">
        <f>WACC!G19</f>
        <v>8.5466622565098682E-2</v>
      </c>
      <c r="F54" s="253">
        <f>WACC!H19</f>
        <v>8.5466622565098682E-2</v>
      </c>
      <c r="G54" s="253">
        <f>WACC!I19</f>
        <v>8.5466622565098682E-2</v>
      </c>
      <c r="H54" s="253">
        <f>WACC!J19</f>
        <v>8.5466622565098682E-2</v>
      </c>
      <c r="I54" s="253">
        <f>WACC!K19</f>
        <v>8.5466622565098682E-2</v>
      </c>
      <c r="J54" s="253">
        <f>WACC!L19</f>
        <v>8.5466622565098682E-2</v>
      </c>
      <c r="K54" s="253">
        <f>WACC!M19</f>
        <v>8.5466622565098682E-2</v>
      </c>
      <c r="L54" s="253">
        <f>WACC!N19</f>
        <v>8.5466622565098682E-2</v>
      </c>
      <c r="M54" s="253">
        <f>WACC!O19</f>
        <v>8.5466622565098682E-2</v>
      </c>
      <c r="N54" s="253">
        <f>WACC!P19</f>
        <v>8.5466622565098682E-2</v>
      </c>
      <c r="O54" s="253">
        <f>WACC!Q19</f>
        <v>8.5466622565098682E-2</v>
      </c>
      <c r="P54" s="253">
        <f>WACC!R19</f>
        <v>8.5466622565098682E-2</v>
      </c>
      <c r="Q54" s="253">
        <f>WACC!S19</f>
        <v>8.5466622565098682E-2</v>
      </c>
      <c r="R54" s="253">
        <f>WACC!T19</f>
        <v>8.5466622565098682E-2</v>
      </c>
      <c r="S54" s="253">
        <f>WACC!U19</f>
        <v>8.5466622565098682E-2</v>
      </c>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row>
    <row r="55" spans="2:52" ht="20" customHeight="1" x14ac:dyDescent="0.25">
      <c r="B55" s="294" t="s">
        <v>94</v>
      </c>
      <c r="C55" s="295">
        <f>C54-C53</f>
        <v>1.6287455241795062E-3</v>
      </c>
      <c r="D55" s="295">
        <f t="shared" ref="D55:S55" si="98">D54-D53</f>
        <v>0</v>
      </c>
      <c r="E55" s="295">
        <f t="shared" si="98"/>
        <v>0</v>
      </c>
      <c r="F55" s="295">
        <f t="shared" si="98"/>
        <v>0</v>
      </c>
      <c r="G55" s="295">
        <f t="shared" si="98"/>
        <v>0</v>
      </c>
      <c r="H55" s="295">
        <f t="shared" si="98"/>
        <v>0</v>
      </c>
      <c r="I55" s="295">
        <f t="shared" si="98"/>
        <v>0</v>
      </c>
      <c r="J55" s="295">
        <f t="shared" si="98"/>
        <v>0</v>
      </c>
      <c r="K55" s="295">
        <f t="shared" si="98"/>
        <v>0</v>
      </c>
      <c r="L55" s="295">
        <f t="shared" si="98"/>
        <v>0</v>
      </c>
      <c r="M55" s="295">
        <f t="shared" si="98"/>
        <v>0</v>
      </c>
      <c r="N55" s="295">
        <f t="shared" si="98"/>
        <v>0</v>
      </c>
      <c r="O55" s="295">
        <f t="shared" si="98"/>
        <v>0</v>
      </c>
      <c r="P55" s="295">
        <f t="shared" si="98"/>
        <v>0</v>
      </c>
      <c r="Q55" s="295">
        <f t="shared" si="98"/>
        <v>0</v>
      </c>
      <c r="R55" s="295">
        <f t="shared" si="98"/>
        <v>0</v>
      </c>
      <c r="S55" s="295">
        <f t="shared" si="98"/>
        <v>0</v>
      </c>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row>
    <row r="56" spans="2:52" ht="20" customHeight="1" x14ac:dyDescent="0.25">
      <c r="B56" s="252" t="s">
        <v>139</v>
      </c>
      <c r="C56" s="296">
        <f>C6</f>
        <v>9.3357521706166846E-2</v>
      </c>
      <c r="D56" s="253">
        <f>C57</f>
        <v>8.6248057309864956E-2</v>
      </c>
      <c r="E56" s="253">
        <f t="shared" ref="E56:S56" si="99">D57</f>
        <v>7.0339897317807543E-2</v>
      </c>
      <c r="F56" s="253">
        <f t="shared" si="99"/>
        <v>6.7376578916460206E-2</v>
      </c>
      <c r="G56" s="253">
        <f t="shared" si="99"/>
        <v>6.793926406834272E-2</v>
      </c>
      <c r="H56" s="253">
        <f t="shared" si="99"/>
        <v>7.9899496530981828E-2</v>
      </c>
      <c r="I56" s="253">
        <f t="shared" si="99"/>
        <v>8.6336079190382886E-2</v>
      </c>
      <c r="J56" s="253">
        <f t="shared" si="99"/>
        <v>8.6336079190382886E-2</v>
      </c>
      <c r="K56" s="253">
        <f t="shared" si="99"/>
        <v>8.6336079190382886E-2</v>
      </c>
      <c r="L56" s="253">
        <f t="shared" si="99"/>
        <v>8.6336079190382886E-2</v>
      </c>
      <c r="M56" s="253">
        <f t="shared" si="99"/>
        <v>8.6336079190382886E-2</v>
      </c>
      <c r="N56" s="253">
        <f t="shared" si="99"/>
        <v>8.6336079190382886E-2</v>
      </c>
      <c r="O56" s="253">
        <f t="shared" si="99"/>
        <v>8.6336079190382886E-2</v>
      </c>
      <c r="P56" s="253">
        <f t="shared" si="99"/>
        <v>8.6336079190382886E-2</v>
      </c>
      <c r="Q56" s="253">
        <f t="shared" si="99"/>
        <v>8.6336079190382886E-2</v>
      </c>
      <c r="R56" s="253">
        <f t="shared" si="99"/>
        <v>8.6336079190382886E-2</v>
      </c>
      <c r="S56" s="253">
        <f t="shared" si="99"/>
        <v>8.6336079190382886E-2</v>
      </c>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row>
    <row r="57" spans="2:52" ht="20" customHeight="1" x14ac:dyDescent="0.25">
      <c r="B57" s="252" t="s">
        <v>140</v>
      </c>
      <c r="C57" s="296">
        <f>IRR(C16:AZ16)</f>
        <v>8.6248057309864956E-2</v>
      </c>
      <c r="D57" s="296">
        <f>IRR(C18:AZ18)</f>
        <v>7.0339897317807543E-2</v>
      </c>
      <c r="E57" s="296">
        <f>IRR(C20:AZ20)</f>
        <v>6.7376578916460206E-2</v>
      </c>
      <c r="F57" s="296">
        <f>IRR(C22:AZ22)</f>
        <v>6.793926406834272E-2</v>
      </c>
      <c r="G57" s="296">
        <f>IRR(C24:AZ24)</f>
        <v>7.9899496530981828E-2</v>
      </c>
      <c r="H57" s="296">
        <f>IRR(C26:AZ26)</f>
        <v>8.6336079190382886E-2</v>
      </c>
      <c r="I57" s="296">
        <f>IRR(C28:AZ28)</f>
        <v>8.6336079190382886E-2</v>
      </c>
      <c r="J57" s="296">
        <f>IRR(C30:AZ30)</f>
        <v>8.6336079190382886E-2</v>
      </c>
      <c r="K57" s="296">
        <f>IRR(C32:AZ32)</f>
        <v>8.6336079190382886E-2</v>
      </c>
      <c r="L57" s="296">
        <f>IRR(C34:AZ34)</f>
        <v>8.6336079190382886E-2</v>
      </c>
      <c r="M57" s="296">
        <f>IRR(C36:AZ36)</f>
        <v>8.6336079190382886E-2</v>
      </c>
      <c r="N57" s="296">
        <f>IRR(C38:AZ38)</f>
        <v>8.6336079190382886E-2</v>
      </c>
      <c r="O57" s="296">
        <f>IRR(C40:AZ40)</f>
        <v>8.6336079190382886E-2</v>
      </c>
      <c r="P57" s="296">
        <f>IRR(C42:AZ42)</f>
        <v>8.6336079190382886E-2</v>
      </c>
      <c r="Q57" s="296">
        <f>IRR(C44:AZ44)</f>
        <v>8.6336079190382886E-2</v>
      </c>
      <c r="R57" s="296">
        <f>IRR(C46:AZ46)</f>
        <v>8.6336079190382886E-2</v>
      </c>
      <c r="S57" s="296">
        <f>IRR(C48:AZ48)</f>
        <v>8.6336079190382886E-2</v>
      </c>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row>
    <row r="58" spans="2:52" ht="20" customHeight="1" x14ac:dyDescent="0.25">
      <c r="B58" s="294" t="s">
        <v>94</v>
      </c>
      <c r="C58" s="295">
        <f>C57-C56</f>
        <v>-7.10946439630189E-3</v>
      </c>
      <c r="D58" s="295">
        <f t="shared" ref="D58:S58" si="100">D57-D56</f>
        <v>-1.5908159992057413E-2</v>
      </c>
      <c r="E58" s="295">
        <f t="shared" si="100"/>
        <v>-2.9633184013473368E-3</v>
      </c>
      <c r="F58" s="295">
        <f t="shared" si="100"/>
        <v>5.6268515188251378E-4</v>
      </c>
      <c r="G58" s="295">
        <f t="shared" si="100"/>
        <v>1.1960232462639109E-2</v>
      </c>
      <c r="H58" s="295">
        <f t="shared" si="100"/>
        <v>6.4365826594010578E-3</v>
      </c>
      <c r="I58" s="295">
        <f t="shared" si="100"/>
        <v>0</v>
      </c>
      <c r="J58" s="295">
        <f t="shared" si="100"/>
        <v>0</v>
      </c>
      <c r="K58" s="295">
        <f t="shared" si="100"/>
        <v>0</v>
      </c>
      <c r="L58" s="295">
        <f t="shared" si="100"/>
        <v>0</v>
      </c>
      <c r="M58" s="295">
        <f t="shared" si="100"/>
        <v>0</v>
      </c>
      <c r="N58" s="295">
        <f t="shared" si="100"/>
        <v>0</v>
      </c>
      <c r="O58" s="295">
        <f t="shared" si="100"/>
        <v>0</v>
      </c>
      <c r="P58" s="295">
        <f t="shared" si="100"/>
        <v>0</v>
      </c>
      <c r="Q58" s="295">
        <f t="shared" si="100"/>
        <v>0</v>
      </c>
      <c r="R58" s="295">
        <f t="shared" si="100"/>
        <v>0</v>
      </c>
      <c r="S58" s="295">
        <f t="shared" si="100"/>
        <v>0</v>
      </c>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row>
    <row r="59" spans="2:52" ht="51.65" customHeight="1" x14ac:dyDescent="0.25">
      <c r="B59" s="115" t="s">
        <v>224</v>
      </c>
      <c r="C59" s="300" t="str">
        <f>IF((NPV(C54,C16:AZ16)-NPV(C53,C5:AZ5))&lt;=0,"Nav pārkompensācija",NPV(C54,C16:AZ16)-NPV(C53,C5:AZ5))</f>
        <v>Nav pārkompensācija</v>
      </c>
      <c r="D59" s="300" t="str">
        <f>IF((NPV(D54,C18:AZ18)-NPV(D53,C16:AZ16))&lt;=0,"Nav pārkompensācija",NPV(D54,C18:AZ18)-NPV(D53,C16:AZ16))</f>
        <v>Nav pārkompensācija</v>
      </c>
      <c r="E59" s="300" t="str">
        <f>IF((NPV(E54,$C20:$AZ20)-NPV(E53,$C18:$AZ18))&lt;=0,"Nav pārkompensācija",NPV(E54,$C20:$AZ20)-NPV(E53,$C18:$AZ18))</f>
        <v>Nav pārkompensācija</v>
      </c>
      <c r="F59" s="300">
        <f>IF((NPV(F54,$C22:$AZ22)-NPV(F53,$C20:$AZ20))&lt;=0,"Nav pārkompensācija",NPV(F54,$C22:$AZ22)-NPV(F53,$C20:$AZ20))</f>
        <v>1348.7070406595012</v>
      </c>
      <c r="G59" s="300">
        <f>IF((NPV(G54,$C24:$AZ24)-NPV(G53,$C22:$AZ22))&lt;=0,"Nav pārkompensācija",NPV(G54,$C24:$AZ24)-NPV(G53,$C22:$AZ22))</f>
        <v>25769.41464358729</v>
      </c>
      <c r="H59" s="300">
        <f>IF((NPV(H54,$C26:$AZ26)-NPV(H53,$C24:$AZ24))&lt;=0,"Nav pārkompensācija",NPV(H54,$C26:$AZ26)-NPV(H53,$C24:$AZ24))</f>
        <v>12976.671848377297</v>
      </c>
      <c r="I59" s="300" t="str">
        <f>IF((NPV(I54,$C28:$AZ28)-NPV(I53,$C26:$AZ26))&lt;=0,"Nav pārkompensācija",NPV(I54,$C28:$AZ28)-NPV(I53,$C26:$AZ26))</f>
        <v>Nav pārkompensācija</v>
      </c>
      <c r="J59" s="300" t="str">
        <f>IF((NPV(J54,$C30:$AZ30)-NPV(J53,$C28:$AZ28))&lt;=0,"Nav pārkompensācija",NPV(J54,$C30:$AZ30)-NPV(J53,$C28:$AZ28))</f>
        <v>Nav pārkompensācija</v>
      </c>
      <c r="K59" s="300" t="str">
        <f>IF((NPV(K54,$C32:$AZ32)-NPV(K53,$C30:$AZ30))&lt;=0,"Nav pārkompensācija",NPV(K54,$C32:$AZ32)-NPV(K53,$C30:$AZ30))</f>
        <v>Nav pārkompensācija</v>
      </c>
      <c r="L59" s="300" t="str">
        <f>IF((NPV(L54,$C34:$AZ34)-NPV(L53,$C32:$AZ32))&lt;=0,"Nav pārkompensācija",NPV(L54,$C34:$AZ34)-NPV(L53,$C32:$AZ32))</f>
        <v>Nav pārkompensācija</v>
      </c>
      <c r="M59" s="300" t="str">
        <f>IF((NPV(M54,$C36:$AZ36)-NPV(M53,$C34:$AZ34))&lt;=0,"Nav pārkompensācija",NPV(M54,$C36:$AZ36)-NPV(M53,$C34:$AZ34))</f>
        <v>Nav pārkompensācija</v>
      </c>
      <c r="N59" s="300" t="str">
        <f>IF((NPV(N54,$C38:$AZ38)-NPV(N53,$C36:$AZ36))&lt;=0,"Nav pārkompensācija",NPV(N54,$C38:$AZ38)-NPV(N53,$C36:$AZ36))</f>
        <v>Nav pārkompensācija</v>
      </c>
      <c r="O59" s="300" t="str">
        <f>IF((NPV(O54,$C40:$AZ40)-NPV(O53,$C38:$AZ38))&lt;=0,"Nav pārkompensācija",NPV(O54,$C40:$AZ40)-NPV(O53,$C38:$AZ38))</f>
        <v>Nav pārkompensācija</v>
      </c>
      <c r="P59" s="300" t="str">
        <f>IF((NPV(P54,$C42:$AZ42)-NPV(P53,$C40:$AZ40))&lt;=0,"Nav pārkompensācija",NPV(P54,$C42:$AZ42)-NPV(P53,$C40:$AZ40))</f>
        <v>Nav pārkompensācija</v>
      </c>
      <c r="Q59" s="300" t="str">
        <f>IF((NPV(Q54,$C44:$AZ44)-NPV(Q53,$C42:$AZ42))&lt;=0,"Nav pārkompensācija",NPV(Q54,$C44:$AZ44)-NPV(Q53,$C42:$AZ42))</f>
        <v>Nav pārkompensācija</v>
      </c>
      <c r="R59" s="300" t="str">
        <f>IF((NPV(R54,$C46:$AZ46)-NPV(R53,$C44:$AZ44))&lt;=0,"Nav pārkompensācija",NPV(R54,$C46:$AZ46)-NPV(R53,$C44:$AZ44))</f>
        <v>Nav pārkompensācija</v>
      </c>
      <c r="S59" s="300" t="str">
        <f>IF((NPV(S54,$C48:$AZ48)-NPV(S53,$C46:$AZ46))&lt;=0,"Nav pārkompensācija",NPV(S54,$C48:$AZ48)-NPV(S53,$C46:$AZ46))</f>
        <v>Nav pārkompensācija</v>
      </c>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row>
    <row r="60" spans="2:52" ht="20" customHeight="1" x14ac:dyDescent="0.25">
      <c r="B60" s="120" t="s">
        <v>127</v>
      </c>
      <c r="C60" s="297">
        <f>$C$10/Pieņēmumi!$D$49</f>
        <v>5703.75936</v>
      </c>
      <c r="D60" s="297">
        <f>$C$10/Pieņēmumi!$D$49</f>
        <v>5703.75936</v>
      </c>
      <c r="E60" s="297">
        <f>$C$10/Pieņēmumi!$D$49</f>
        <v>5703.75936</v>
      </c>
      <c r="F60" s="297">
        <f>$C$10/Pieņēmumi!$D$49</f>
        <v>5703.75936</v>
      </c>
      <c r="G60" s="297">
        <f>$C$10/Pieņēmumi!$D$49</f>
        <v>5703.75936</v>
      </c>
      <c r="H60" s="297">
        <f>$C$10/Pieņēmumi!$D$49</f>
        <v>5703.75936</v>
      </c>
      <c r="I60" s="297">
        <f>$C$10/Pieņēmumi!$D$49</f>
        <v>5703.75936</v>
      </c>
      <c r="J60" s="297">
        <f>$C$10/Pieņēmumi!$D$49</f>
        <v>5703.75936</v>
      </c>
      <c r="K60" s="297">
        <f>$C$10/Pieņēmumi!$D$49</f>
        <v>5703.75936</v>
      </c>
      <c r="L60" s="297">
        <f>$C$10/Pieņēmumi!$D$49</f>
        <v>5703.75936</v>
      </c>
      <c r="M60" s="297">
        <f>$C$10/Pieņēmumi!$D$49</f>
        <v>5703.75936</v>
      </c>
      <c r="N60" s="297">
        <f>$C$10/Pieņēmumi!$D$49</f>
        <v>5703.75936</v>
      </c>
      <c r="O60" s="297">
        <f>$C$10/Pieņēmumi!$D$49</f>
        <v>5703.75936</v>
      </c>
      <c r="P60" s="297">
        <f>$C$10/Pieņēmumi!$D$49</f>
        <v>5703.75936</v>
      </c>
      <c r="Q60" s="297">
        <f>$C$10/Pieņēmumi!$D$49</f>
        <v>5703.75936</v>
      </c>
      <c r="R60" s="297">
        <f>$C$10/Pieņēmumi!$D$49</f>
        <v>5703.75936</v>
      </c>
      <c r="S60" s="297">
        <f>$C$10/Pieņēmumi!$D$49</f>
        <v>5703.75936</v>
      </c>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row>
    <row r="61" spans="2:52" ht="47" customHeight="1" x14ac:dyDescent="0.25">
      <c r="B61" s="120" t="s">
        <v>194</v>
      </c>
      <c r="C61" s="300" t="str">
        <f>IF(C59&gt;(C60*0.1),C59,"Nav pārkompensācija")</f>
        <v>Nav pārkompensācija</v>
      </c>
      <c r="D61" s="300" t="str">
        <f t="shared" ref="D61:S61" si="101">IF(D59&gt;(D60*0.1),D59,"Nav pārkompensācija")</f>
        <v>Nav pārkompensācija</v>
      </c>
      <c r="E61" s="300" t="str">
        <f t="shared" si="101"/>
        <v>Nav pārkompensācija</v>
      </c>
      <c r="F61" s="300">
        <f t="shared" si="101"/>
        <v>1348.7070406595012</v>
      </c>
      <c r="G61" s="300">
        <f t="shared" si="101"/>
        <v>25769.41464358729</v>
      </c>
      <c r="H61" s="300">
        <f t="shared" si="101"/>
        <v>12976.671848377297</v>
      </c>
      <c r="I61" s="300" t="str">
        <f t="shared" si="101"/>
        <v>Nav pārkompensācija</v>
      </c>
      <c r="J61" s="300" t="str">
        <f t="shared" si="101"/>
        <v>Nav pārkompensācija</v>
      </c>
      <c r="K61" s="300" t="str">
        <f t="shared" si="101"/>
        <v>Nav pārkompensācija</v>
      </c>
      <c r="L61" s="300" t="str">
        <f t="shared" si="101"/>
        <v>Nav pārkompensācija</v>
      </c>
      <c r="M61" s="300" t="str">
        <f t="shared" si="101"/>
        <v>Nav pārkompensācija</v>
      </c>
      <c r="N61" s="300" t="str">
        <f t="shared" si="101"/>
        <v>Nav pārkompensācija</v>
      </c>
      <c r="O61" s="300" t="str">
        <f t="shared" si="101"/>
        <v>Nav pārkompensācija</v>
      </c>
      <c r="P61" s="300" t="str">
        <f t="shared" si="101"/>
        <v>Nav pārkompensācija</v>
      </c>
      <c r="Q61" s="300" t="str">
        <f t="shared" si="101"/>
        <v>Nav pārkompensācija</v>
      </c>
      <c r="R61" s="300" t="str">
        <f t="shared" si="101"/>
        <v>Nav pārkompensācija</v>
      </c>
      <c r="S61" s="300" t="str">
        <f t="shared" si="101"/>
        <v>Nav pārkompensācija</v>
      </c>
      <c r="T61" s="299"/>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row>
    <row r="62" spans="2:52" ht="20" customHeight="1" x14ac:dyDescent="0.25">
      <c r="B62" s="120"/>
      <c r="C62" s="297"/>
      <c r="D62" s="120"/>
      <c r="E62" s="120"/>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row>
    <row r="63" spans="2:52" x14ac:dyDescent="0.25">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row>
    <row r="64" spans="2:52" x14ac:dyDescent="0.25">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c r="AM64" s="120"/>
      <c r="AN64" s="120"/>
      <c r="AO64" s="120"/>
      <c r="AP64" s="120"/>
      <c r="AQ64" s="120"/>
      <c r="AR64" s="120"/>
      <c r="AS64" s="120"/>
      <c r="AT64" s="120"/>
      <c r="AU64" s="120"/>
      <c r="AV64" s="120"/>
      <c r="AW64" s="120"/>
      <c r="AX64" s="120"/>
      <c r="AY64" s="120"/>
      <c r="AZ64" s="120"/>
    </row>
    <row r="65" spans="2:52" x14ac:dyDescent="0.25">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row>
    <row r="66" spans="2:52" x14ac:dyDescent="0.25">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c r="AJ66" s="120"/>
      <c r="AK66" s="120"/>
      <c r="AL66" s="120"/>
      <c r="AM66" s="120"/>
      <c r="AN66" s="120"/>
      <c r="AO66" s="120"/>
      <c r="AP66" s="120"/>
      <c r="AQ66" s="120"/>
      <c r="AR66" s="120"/>
      <c r="AS66" s="120"/>
      <c r="AT66" s="120"/>
      <c r="AU66" s="120"/>
      <c r="AV66" s="120"/>
      <c r="AW66" s="120"/>
      <c r="AX66" s="120"/>
      <c r="AY66" s="120"/>
      <c r="AZ66" s="120"/>
    </row>
  </sheetData>
  <conditionalFormatting sqref="C10">
    <cfRule type="cellIs" dxfId="2" priority="2" operator="lessThan">
      <formula>0</formula>
    </cfRule>
  </conditionalFormatting>
  <conditionalFormatting sqref="C9">
    <cfRule type="expression" dxfId="1" priority="1">
      <formula>$C$9&gt;0.3</formula>
    </cfRule>
  </conditionalFormatting>
  <pageMargins left="0.7" right="0.7" top="0.75" bottom="0.75" header="0.3" footer="0.3"/>
  <pageSetup paperSize="9" orientation="portrait" r:id="rId1"/>
  <ignoredErrors>
    <ignoredError sqref="C2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M40"/>
  <sheetViews>
    <sheetView showGridLines="0" zoomScale="85" zoomScaleNormal="85" workbookViewId="0">
      <selection activeCell="F40" sqref="F40"/>
    </sheetView>
  </sheetViews>
  <sheetFormatPr defaultColWidth="8.6640625" defaultRowHeight="12.5" x14ac:dyDescent="0.25"/>
  <cols>
    <col min="1" max="1" width="2.4140625" style="32" customWidth="1"/>
    <col min="2" max="2" width="82.1640625" style="32" customWidth="1"/>
    <col min="3" max="3" width="11.5" style="32" customWidth="1"/>
    <col min="4" max="4" width="14.58203125" style="32" customWidth="1"/>
    <col min="5" max="5" width="12.4140625" style="32" customWidth="1"/>
    <col min="6" max="6" width="14.5" style="32" bestFit="1" customWidth="1"/>
    <col min="7" max="7" width="11.58203125" style="32" customWidth="1"/>
    <col min="8" max="8" width="9.4140625" style="32" bestFit="1" customWidth="1"/>
    <col min="9" max="10" width="9.1640625" style="32" customWidth="1"/>
    <col min="11" max="11" width="8.6640625" style="32" customWidth="1"/>
    <col min="12" max="12" width="8.4140625" style="32" customWidth="1"/>
    <col min="13" max="15" width="8.6640625" style="32"/>
    <col min="16" max="16" width="8.08203125" style="32" customWidth="1"/>
    <col min="17" max="16384" width="8.6640625" style="32"/>
  </cols>
  <sheetData>
    <row r="2" spans="2:39" ht="28.25" customHeight="1" x14ac:dyDescent="0.25">
      <c r="B2" s="328" t="str">
        <f>Pieņēmumi!D2</f>
        <v>-</v>
      </c>
    </row>
    <row r="3" spans="2:39" s="147" customFormat="1" ht="20" customHeight="1" x14ac:dyDescent="0.3">
      <c r="B3" s="121" t="s">
        <v>38</v>
      </c>
      <c r="C3" s="121"/>
      <c r="D3" s="121"/>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row>
    <row r="4" spans="2:39" s="147" customFormat="1" ht="20" customHeight="1" x14ac:dyDescent="0.3">
      <c r="B4" s="215" t="s">
        <v>50</v>
      </c>
      <c r="C4" s="215"/>
      <c r="D4" s="215"/>
      <c r="H4" s="119"/>
      <c r="I4" s="119"/>
      <c r="J4" s="119"/>
      <c r="K4" s="119"/>
      <c r="L4" s="119"/>
      <c r="Q4" s="119"/>
      <c r="R4" s="119"/>
      <c r="S4" s="119"/>
      <c r="T4" s="119"/>
      <c r="U4" s="119"/>
      <c r="V4" s="119"/>
      <c r="W4" s="119"/>
      <c r="X4" s="119"/>
      <c r="Y4" s="119"/>
      <c r="Z4" s="119"/>
      <c r="AA4" s="119"/>
      <c r="AB4" s="119"/>
      <c r="AC4" s="119"/>
      <c r="AD4" s="119"/>
      <c r="AE4" s="119"/>
      <c r="AF4" s="119"/>
      <c r="AG4" s="119"/>
      <c r="AH4" s="119"/>
      <c r="AI4" s="119"/>
      <c r="AJ4" s="119"/>
      <c r="AK4" s="119"/>
      <c r="AL4" s="119"/>
      <c r="AM4" s="119"/>
    </row>
    <row r="5" spans="2:39" s="113" customFormat="1" ht="25" x14ac:dyDescent="0.3">
      <c r="B5" s="128" t="s">
        <v>240</v>
      </c>
      <c r="C5" s="217" t="s">
        <v>8</v>
      </c>
      <c r="D5" s="267">
        <f>Pieņēmumi!D18*Pieņēmumi!$D$14</f>
        <v>17138.7</v>
      </c>
      <c r="H5" s="114"/>
      <c r="J5" s="210"/>
      <c r="K5" s="211"/>
      <c r="L5" s="131"/>
    </row>
    <row r="6" spans="2:39" s="120" customFormat="1" ht="25" x14ac:dyDescent="0.3">
      <c r="B6" s="128" t="s">
        <v>229</v>
      </c>
      <c r="C6" s="217" t="s">
        <v>8</v>
      </c>
      <c r="D6" s="267">
        <f>Pieņēmumi!D19*Pieņēmumi!$D$14</f>
        <v>22851.600000000002</v>
      </c>
    </row>
    <row r="7" spans="2:39" s="120" customFormat="1" ht="20" customHeight="1" x14ac:dyDescent="0.3">
      <c r="B7" s="128" t="s">
        <v>230</v>
      </c>
      <c r="C7" s="217" t="s">
        <v>8</v>
      </c>
      <c r="D7" s="267">
        <f>Pieņēmumi!D20*Pieņēmumi!$D$14</f>
        <v>22851.600000000002</v>
      </c>
    </row>
    <row r="8" spans="2:39" s="120" customFormat="1" ht="20" customHeight="1" x14ac:dyDescent="0.3">
      <c r="B8" s="128" t="s">
        <v>241</v>
      </c>
      <c r="C8" s="217" t="s">
        <v>8</v>
      </c>
      <c r="D8" s="267">
        <f>Pieņēmumi!D21*Pieņēmumi!$D$14</f>
        <v>22851.600000000002</v>
      </c>
    </row>
    <row r="9" spans="2:39" s="120" customFormat="1" ht="20" customHeight="1" x14ac:dyDescent="0.3">
      <c r="B9" s="128" t="s">
        <v>17</v>
      </c>
      <c r="C9" s="217" t="s">
        <v>8</v>
      </c>
      <c r="D9" s="267">
        <f>Pieņēmumi!D22*Pieņēmumi!$D$14</f>
        <v>778096.9800000001</v>
      </c>
    </row>
    <row r="10" spans="2:39" s="120" customFormat="1" ht="25" x14ac:dyDescent="0.3">
      <c r="B10" s="128" t="s">
        <v>231</v>
      </c>
      <c r="C10" s="217" t="s">
        <v>8</v>
      </c>
      <c r="D10" s="267">
        <f>Pieņēmumi!D23*Pieņēmumi!$D$14</f>
        <v>0</v>
      </c>
    </row>
    <row r="11" spans="2:39" s="120" customFormat="1" ht="23" customHeight="1" x14ac:dyDescent="0.3">
      <c r="B11" s="128" t="s">
        <v>232</v>
      </c>
      <c r="C11" s="217" t="s">
        <v>8</v>
      </c>
      <c r="D11" s="267">
        <f>Pieņēmumi!D24*Pieņēmumi!$D$14</f>
        <v>45703.200000000004</v>
      </c>
    </row>
    <row r="12" spans="2:39" s="120" customFormat="1" ht="32" customHeight="1" x14ac:dyDescent="0.3">
      <c r="B12" s="128" t="s">
        <v>242</v>
      </c>
      <c r="C12" s="217" t="s">
        <v>8</v>
      </c>
      <c r="D12" s="267">
        <f>Pieņēmumi!D25*Pieņēmumi!$D$14</f>
        <v>6855.4800000000014</v>
      </c>
    </row>
    <row r="13" spans="2:39" s="120" customFormat="1" ht="20" customHeight="1" x14ac:dyDescent="0.3">
      <c r="B13" s="128" t="s">
        <v>234</v>
      </c>
      <c r="C13" s="217" t="s">
        <v>8</v>
      </c>
      <c r="D13" s="267">
        <f>Pieņēmumi!D26*Pieņēmumi!$D$14</f>
        <v>34277.4</v>
      </c>
    </row>
    <row r="14" spans="2:39" s="120" customFormat="1" ht="20" customHeight="1" x14ac:dyDescent="0.3">
      <c r="B14" s="128" t="s">
        <v>233</v>
      </c>
      <c r="C14" s="217" t="s">
        <v>8</v>
      </c>
      <c r="D14" s="267">
        <f>Pieņēmumi!D27*Pieņēmumi!$D$14</f>
        <v>0</v>
      </c>
    </row>
    <row r="15" spans="2:39" s="182" customFormat="1" ht="20" customHeight="1" x14ac:dyDescent="0.3">
      <c r="B15" s="239" t="s">
        <v>52</v>
      </c>
      <c r="C15" s="240" t="s">
        <v>8</v>
      </c>
      <c r="D15" s="268">
        <f>SUM('Pamatkapitāla ieguldījumi'!D5:D14)</f>
        <v>950626.56</v>
      </c>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row>
    <row r="17" spans="2:39" s="147" customFormat="1" ht="20" customHeight="1" x14ac:dyDescent="0.3">
      <c r="B17" s="215" t="s">
        <v>51</v>
      </c>
      <c r="C17" s="215"/>
      <c r="D17" s="215"/>
      <c r="H17" s="119"/>
      <c r="I17" s="119"/>
      <c r="J17" s="119"/>
      <c r="K17" s="119"/>
      <c r="L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row>
    <row r="18" spans="2:39" s="120" customFormat="1" ht="25" x14ac:dyDescent="0.3">
      <c r="B18" s="128" t="s">
        <v>240</v>
      </c>
      <c r="C18" s="217" t="s">
        <v>8</v>
      </c>
      <c r="D18" s="269">
        <f>Pieņēmumi!D30*Pieņēmumi!$D$14</f>
        <v>0</v>
      </c>
    </row>
    <row r="19" spans="2:39" s="120" customFormat="1" ht="25" x14ac:dyDescent="0.3">
      <c r="B19" s="128" t="s">
        <v>229</v>
      </c>
      <c r="C19" s="217" t="s">
        <v>8</v>
      </c>
      <c r="D19" s="269">
        <f>Pieņēmumi!D31*Pieņēmumi!$D$14</f>
        <v>0</v>
      </c>
    </row>
    <row r="20" spans="2:39" s="120" customFormat="1" ht="20" customHeight="1" x14ac:dyDescent="0.3">
      <c r="B20" s="128" t="s">
        <v>230</v>
      </c>
      <c r="C20" s="217" t="s">
        <v>8</v>
      </c>
      <c r="D20" s="269">
        <f>Pieņēmumi!D32*Pieņēmumi!$D$14</f>
        <v>0</v>
      </c>
    </row>
    <row r="21" spans="2:39" s="120" customFormat="1" ht="20" customHeight="1" x14ac:dyDescent="0.3">
      <c r="B21" s="128" t="s">
        <v>241</v>
      </c>
      <c r="C21" s="217" t="s">
        <v>8</v>
      </c>
      <c r="D21" s="269">
        <f>Pieņēmumi!D33*Pieņēmumi!$D$14</f>
        <v>0</v>
      </c>
    </row>
    <row r="22" spans="2:39" s="120" customFormat="1" ht="20" customHeight="1" x14ac:dyDescent="0.3">
      <c r="B22" s="128" t="s">
        <v>17</v>
      </c>
      <c r="C22" s="217" t="s">
        <v>8</v>
      </c>
      <c r="D22" s="269">
        <f>Pieņēmumi!D34*Pieņēmumi!$D$14</f>
        <v>22851.600000000002</v>
      </c>
    </row>
    <row r="23" spans="2:39" s="120" customFormat="1" ht="25" x14ac:dyDescent="0.3">
      <c r="B23" s="128" t="s">
        <v>231</v>
      </c>
      <c r="C23" s="217" t="s">
        <v>8</v>
      </c>
      <c r="D23" s="269">
        <f>Pieņēmumi!D35*Pieņēmumi!$D$14</f>
        <v>0</v>
      </c>
    </row>
    <row r="24" spans="2:39" s="120" customFormat="1" ht="22.25" customHeight="1" x14ac:dyDescent="0.3">
      <c r="B24" s="128" t="s">
        <v>232</v>
      </c>
      <c r="C24" s="217" t="s">
        <v>8</v>
      </c>
      <c r="D24" s="269">
        <f>Pieņēmumi!D36*Pieņēmumi!$D$14</f>
        <v>0</v>
      </c>
    </row>
    <row r="25" spans="2:39" s="120" customFormat="1" ht="25" x14ac:dyDescent="0.3">
      <c r="B25" s="128" t="s">
        <v>242</v>
      </c>
      <c r="C25" s="217" t="s">
        <v>8</v>
      </c>
      <c r="D25" s="269">
        <f>Pieņēmumi!D37*Pieņēmumi!$D$14</f>
        <v>0</v>
      </c>
    </row>
    <row r="26" spans="2:39" s="120" customFormat="1" ht="20" customHeight="1" x14ac:dyDescent="0.3">
      <c r="B26" s="128" t="s">
        <v>234</v>
      </c>
      <c r="C26" s="217" t="s">
        <v>8</v>
      </c>
      <c r="D26" s="269">
        <f>Pieņēmumi!D38*Pieņēmumi!$D$14</f>
        <v>0</v>
      </c>
    </row>
    <row r="27" spans="2:39" s="120" customFormat="1" ht="20" customHeight="1" x14ac:dyDescent="0.3">
      <c r="B27" s="128" t="s">
        <v>233</v>
      </c>
      <c r="C27" s="217" t="s">
        <v>8</v>
      </c>
      <c r="D27" s="269">
        <f>Pieņēmumi!D39*Pieņēmumi!$D$14</f>
        <v>0</v>
      </c>
    </row>
    <row r="28" spans="2:39" s="120" customFormat="1" ht="20" customHeight="1" x14ac:dyDescent="0.3">
      <c r="B28" s="128" t="s">
        <v>58</v>
      </c>
      <c r="C28" s="217" t="s">
        <v>8</v>
      </c>
      <c r="D28" s="269">
        <f>Pieņēmumi!D40*Pieņēmumi!$D$14</f>
        <v>57129.000000000007</v>
      </c>
    </row>
    <row r="29" spans="2:39" s="120" customFormat="1" ht="20" customHeight="1" x14ac:dyDescent="0.3">
      <c r="B29" s="120" t="s">
        <v>274</v>
      </c>
      <c r="C29" s="217" t="s">
        <v>8</v>
      </c>
      <c r="D29" s="270">
        <f>Pieņēmumi!D8*SUM(D18:D28)</f>
        <v>16795.925999999999</v>
      </c>
    </row>
    <row r="30" spans="2:39" s="120" customFormat="1" ht="20" customHeight="1" x14ac:dyDescent="0.3">
      <c r="B30" s="128" t="s">
        <v>275</v>
      </c>
      <c r="C30" s="217" t="s">
        <v>8</v>
      </c>
      <c r="D30" s="267">
        <f>Pieņēmumi!D8*SUM('Pamatkapitāla ieguldījumi'!D5:D14)</f>
        <v>199631.57760000002</v>
      </c>
    </row>
    <row r="31" spans="2:39" s="182" customFormat="1" ht="20" customHeight="1" x14ac:dyDescent="0.3">
      <c r="B31" s="239" t="s">
        <v>60</v>
      </c>
      <c r="C31" s="240" t="s">
        <v>8</v>
      </c>
      <c r="D31" s="268">
        <f>SUM(D18:D30)</f>
        <v>296408.10360000003</v>
      </c>
      <c r="E31" s="212"/>
      <c r="F31" s="212"/>
      <c r="G31" s="212"/>
      <c r="H31" s="212"/>
      <c r="I31" s="212"/>
      <c r="J31" s="212"/>
      <c r="K31" s="212"/>
      <c r="L31" s="212"/>
      <c r="M31" s="212"/>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2"/>
      <c r="AL31" s="212"/>
    </row>
    <row r="32" spans="2:39" s="120" customFormat="1" ht="20" customHeight="1" x14ac:dyDescent="0.3">
      <c r="D32" s="126"/>
      <c r="E32" s="126"/>
      <c r="F32" s="126"/>
      <c r="G32" s="126"/>
    </row>
    <row r="33" spans="2:39" s="147" customFormat="1" ht="20" customHeight="1" x14ac:dyDescent="0.3">
      <c r="B33" s="121" t="s">
        <v>20</v>
      </c>
      <c r="C33" s="121"/>
      <c r="D33" s="121"/>
      <c r="E33" s="121"/>
      <c r="F33" s="121"/>
      <c r="G33" s="121"/>
      <c r="H33" s="121"/>
      <c r="I33" s="121"/>
      <c r="J33" s="121"/>
      <c r="K33" s="121"/>
      <c r="L33" s="121"/>
      <c r="M33" s="121"/>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row>
    <row r="34" spans="2:39" s="120" customFormat="1" ht="20" customHeight="1" x14ac:dyDescent="0.3">
      <c r="B34" s="120" t="s">
        <v>151</v>
      </c>
      <c r="C34" s="185" t="s">
        <v>13</v>
      </c>
      <c r="D34" s="185"/>
      <c r="E34" s="185"/>
      <c r="F34" s="214">
        <v>1</v>
      </c>
      <c r="G34" s="214">
        <v>2</v>
      </c>
      <c r="H34" s="214">
        <v>3</v>
      </c>
      <c r="I34" s="214">
        <v>4</v>
      </c>
      <c r="J34" s="214">
        <v>5</v>
      </c>
      <c r="K34" s="214">
        <v>6</v>
      </c>
      <c r="L34" s="214">
        <v>7</v>
      </c>
      <c r="M34" s="214">
        <v>8</v>
      </c>
    </row>
    <row r="35" spans="2:39" s="120" customFormat="1" ht="20" customHeight="1" x14ac:dyDescent="0.3">
      <c r="B35" s="120" t="s">
        <v>20</v>
      </c>
      <c r="C35" s="185" t="s">
        <v>5</v>
      </c>
      <c r="D35" s="185"/>
      <c r="E35" s="185"/>
      <c r="F35" s="218">
        <f>Finansējums!J6</f>
        <v>0.5</v>
      </c>
      <c r="G35" s="218">
        <f>Finansējums!K6</f>
        <v>0.5</v>
      </c>
      <c r="H35" s="218">
        <f>Finansējums!L6</f>
        <v>0</v>
      </c>
      <c r="I35" s="218">
        <f>Finansējums!M6</f>
        <v>0</v>
      </c>
      <c r="J35" s="218">
        <f>Finansējums!N6</f>
        <v>0</v>
      </c>
      <c r="K35" s="218">
        <f>Finansējums!O6</f>
        <v>0</v>
      </c>
      <c r="L35" s="218">
        <f>Finansējums!P6</f>
        <v>0</v>
      </c>
      <c r="M35" s="218">
        <f>Finansējums!Q6</f>
        <v>0</v>
      </c>
      <c r="N35" s="218"/>
      <c r="O35" s="218"/>
      <c r="P35" s="218"/>
    </row>
    <row r="36" spans="2:39" s="126" customFormat="1" ht="20" customHeight="1" x14ac:dyDescent="0.3">
      <c r="B36" s="153" t="s">
        <v>59</v>
      </c>
      <c r="C36" s="213" t="s">
        <v>8</v>
      </c>
      <c r="D36" s="213" t="s">
        <v>25</v>
      </c>
      <c r="E36" s="271">
        <f t="shared" ref="E36:E40" si="0">SUM(F36:M36)</f>
        <v>1247034.6636000001</v>
      </c>
      <c r="F36" s="271">
        <f>F35*($D$15+$D$31)</f>
        <v>623517.33180000004</v>
      </c>
      <c r="G36" s="271">
        <f t="shared" ref="G36:M36" si="1">G35*($D$15+$D$31)</f>
        <v>623517.33180000004</v>
      </c>
      <c r="H36" s="271">
        <f t="shared" si="1"/>
        <v>0</v>
      </c>
      <c r="I36" s="271">
        <f t="shared" si="1"/>
        <v>0</v>
      </c>
      <c r="J36" s="271">
        <f t="shared" si="1"/>
        <v>0</v>
      </c>
      <c r="K36" s="271">
        <f t="shared" si="1"/>
        <v>0</v>
      </c>
      <c r="L36" s="271">
        <f t="shared" si="1"/>
        <v>0</v>
      </c>
      <c r="M36" s="271">
        <f t="shared" si="1"/>
        <v>0</v>
      </c>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row>
    <row r="37" spans="2:39" s="126" customFormat="1" ht="20" customHeight="1" x14ac:dyDescent="0.3">
      <c r="B37" s="153" t="s">
        <v>102</v>
      </c>
      <c r="C37" s="213" t="s">
        <v>8</v>
      </c>
      <c r="D37" s="213" t="s">
        <v>25</v>
      </c>
      <c r="E37" s="271">
        <f t="shared" si="0"/>
        <v>1030607.16</v>
      </c>
      <c r="F37" s="271">
        <f>F36-(F35*($D$30+$D$29))</f>
        <v>515303.58</v>
      </c>
      <c r="G37" s="271">
        <f t="shared" ref="G37:M37" si="2">G36-(G35*($D$30+$D$29))</f>
        <v>515303.58</v>
      </c>
      <c r="H37" s="271">
        <f t="shared" si="2"/>
        <v>0</v>
      </c>
      <c r="I37" s="271">
        <f t="shared" si="2"/>
        <v>0</v>
      </c>
      <c r="J37" s="271">
        <f t="shared" si="2"/>
        <v>0</v>
      </c>
      <c r="K37" s="271">
        <f t="shared" si="2"/>
        <v>0</v>
      </c>
      <c r="L37" s="271">
        <f t="shared" si="2"/>
        <v>0</v>
      </c>
      <c r="M37" s="271">
        <f t="shared" si="2"/>
        <v>0</v>
      </c>
      <c r="N37" s="153"/>
      <c r="O37" s="153"/>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row>
    <row r="38" spans="2:39" s="126" customFormat="1" ht="20" customHeight="1" x14ac:dyDescent="0.3">
      <c r="B38" s="153" t="s">
        <v>133</v>
      </c>
      <c r="C38" s="213" t="s">
        <v>8</v>
      </c>
      <c r="D38" s="213" t="s">
        <v>25</v>
      </c>
      <c r="E38" s="271">
        <f t="shared" si="0"/>
        <v>950626.56</v>
      </c>
      <c r="F38" s="271">
        <f>F35*$D$15</f>
        <v>475313.28</v>
      </c>
      <c r="G38" s="271">
        <f t="shared" ref="G38:M38" si="3">G35*$D$15</f>
        <v>475313.28</v>
      </c>
      <c r="H38" s="271">
        <f t="shared" si="3"/>
        <v>0</v>
      </c>
      <c r="I38" s="271">
        <f t="shared" si="3"/>
        <v>0</v>
      </c>
      <c r="J38" s="271">
        <f t="shared" si="3"/>
        <v>0</v>
      </c>
      <c r="K38" s="271">
        <f t="shared" si="3"/>
        <v>0</v>
      </c>
      <c r="L38" s="271">
        <f t="shared" si="3"/>
        <v>0</v>
      </c>
      <c r="M38" s="271">
        <f t="shared" si="3"/>
        <v>0</v>
      </c>
      <c r="N38" s="153"/>
      <c r="O38" s="153"/>
      <c r="P38" s="153"/>
      <c r="Q38" s="153"/>
      <c r="R38" s="153"/>
      <c r="S38" s="153"/>
      <c r="T38" s="153"/>
      <c r="U38" s="153"/>
      <c r="V38" s="153"/>
      <c r="W38" s="153"/>
      <c r="X38" s="153"/>
      <c r="Y38" s="153"/>
      <c r="Z38" s="153"/>
      <c r="AA38" s="153"/>
      <c r="AB38" s="153"/>
      <c r="AC38" s="153"/>
      <c r="AD38" s="153"/>
      <c r="AE38" s="153"/>
      <c r="AF38" s="153"/>
      <c r="AG38" s="153"/>
      <c r="AH38" s="153"/>
      <c r="AI38" s="153"/>
      <c r="AJ38" s="153"/>
      <c r="AK38" s="153"/>
      <c r="AL38" s="153"/>
    </row>
    <row r="39" spans="2:39" s="126" customFormat="1" ht="20" customHeight="1" x14ac:dyDescent="0.3">
      <c r="B39" s="153" t="s">
        <v>60</v>
      </c>
      <c r="C39" s="213" t="s">
        <v>8</v>
      </c>
      <c r="D39" s="213" t="s">
        <v>25</v>
      </c>
      <c r="E39" s="271">
        <f t="shared" si="0"/>
        <v>296408.10360000003</v>
      </c>
      <c r="F39" s="271">
        <f>$D$31*F35</f>
        <v>148204.05180000002</v>
      </c>
      <c r="G39" s="271">
        <f t="shared" ref="G39:M39" si="4">$D$31*G35</f>
        <v>148204.05180000002</v>
      </c>
      <c r="H39" s="271">
        <f t="shared" si="4"/>
        <v>0</v>
      </c>
      <c r="I39" s="271">
        <f t="shared" si="4"/>
        <v>0</v>
      </c>
      <c r="J39" s="271">
        <f t="shared" si="4"/>
        <v>0</v>
      </c>
      <c r="K39" s="271">
        <f t="shared" si="4"/>
        <v>0</v>
      </c>
      <c r="L39" s="271">
        <f t="shared" si="4"/>
        <v>0</v>
      </c>
      <c r="M39" s="271">
        <f t="shared" si="4"/>
        <v>0</v>
      </c>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row>
    <row r="40" spans="2:39" s="126" customFormat="1" ht="20" customHeight="1" x14ac:dyDescent="0.3">
      <c r="B40" s="153" t="s">
        <v>276</v>
      </c>
      <c r="C40" s="213" t="s">
        <v>8</v>
      </c>
      <c r="D40" s="213" t="s">
        <v>25</v>
      </c>
      <c r="E40" s="271">
        <f t="shared" si="0"/>
        <v>951152</v>
      </c>
      <c r="F40" s="271">
        <f>Pieņēmumi!$D$12*Pieņēmumi!$D$11*'Pamatkapitāla ieguldījumi'!F35</f>
        <v>475576</v>
      </c>
      <c r="G40" s="271">
        <f>Pieņēmumi!$D$12*Pieņēmumi!$D$11*'Pamatkapitāla ieguldījumi'!G35</f>
        <v>475576</v>
      </c>
      <c r="H40" s="271">
        <f>Pieņēmumi!$D$12*Pieņēmumi!$D$11*'Pamatkapitāla ieguldījumi'!H35</f>
        <v>0</v>
      </c>
      <c r="I40" s="271">
        <f>Pieņēmumi!$D$12*Pieņēmumi!$D$11*'Pamatkapitāla ieguldījumi'!I35</f>
        <v>0</v>
      </c>
      <c r="J40" s="271">
        <f>Pieņēmumi!$D$12*Pieņēmumi!$D$11*'Pamatkapitāla ieguldījumi'!J35</f>
        <v>0</v>
      </c>
      <c r="K40" s="271">
        <f>Pieņēmumi!$D$12*Pieņēmumi!$D$11*'Pamatkapitāla ieguldījumi'!K35</f>
        <v>0</v>
      </c>
      <c r="L40" s="271">
        <f>Pieņēmumi!$D$12*Pieņēmumi!$D$11*'Pamatkapitāla ieguldījumi'!L35</f>
        <v>0</v>
      </c>
      <c r="M40" s="271">
        <f>Pieņēmumi!$D$12*Pieņēmumi!$D$11*'Pamatkapitāla ieguldījumi'!M35</f>
        <v>0</v>
      </c>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D71"/>
  <sheetViews>
    <sheetView showGridLines="0" zoomScale="90" zoomScaleNormal="90" workbookViewId="0">
      <pane ySplit="4" topLeftCell="A5" activePane="bottomLeft" state="frozen"/>
      <selection activeCell="K17" sqref="K17"/>
      <selection pane="bottomLeft" activeCell="E11" sqref="E11"/>
    </sheetView>
  </sheetViews>
  <sheetFormatPr defaultColWidth="8.6640625" defaultRowHeight="12.5" x14ac:dyDescent="0.25"/>
  <cols>
    <col min="1" max="1" width="2.58203125" style="32" customWidth="1"/>
    <col min="2" max="2" width="51" style="38" customWidth="1"/>
    <col min="3" max="4" width="8.6640625" style="37"/>
    <col min="5" max="5" width="11.08203125" style="37" bestFit="1" customWidth="1"/>
    <col min="6" max="12" width="10.58203125" style="37" customWidth="1"/>
    <col min="13" max="13" width="9.6640625" style="37" bestFit="1" customWidth="1"/>
    <col min="14" max="14" width="11.5" style="37" customWidth="1"/>
    <col min="15" max="23" width="10.58203125" style="37" customWidth="1"/>
    <col min="24" max="25" width="10.58203125" style="32" customWidth="1"/>
    <col min="26" max="26" width="11.1640625" style="32" bestFit="1" customWidth="1"/>
    <col min="27" max="41" width="10.58203125" style="32" customWidth="1"/>
    <col min="42" max="44" width="10.1640625" style="32" customWidth="1"/>
    <col min="45" max="16384" width="8.6640625" style="32"/>
  </cols>
  <sheetData>
    <row r="1" spans="1:47" ht="20" customHeight="1" x14ac:dyDescent="0.25"/>
    <row r="2" spans="1:47" ht="28.25" customHeight="1" x14ac:dyDescent="0.25">
      <c r="B2" s="328" t="str">
        <f>Pieņēmumi!D2</f>
        <v>-</v>
      </c>
      <c r="C2" s="32"/>
      <c r="D2" s="32"/>
      <c r="E2" s="32"/>
      <c r="F2" s="32"/>
      <c r="G2" s="32"/>
      <c r="H2" s="32"/>
      <c r="I2" s="32"/>
      <c r="J2" s="32"/>
      <c r="K2" s="32"/>
      <c r="L2" s="32"/>
      <c r="M2" s="32"/>
      <c r="N2" s="32"/>
      <c r="O2" s="32"/>
      <c r="P2" s="32"/>
      <c r="Q2" s="32"/>
      <c r="R2" s="32"/>
      <c r="S2" s="32"/>
      <c r="T2" s="32"/>
      <c r="U2" s="32"/>
      <c r="V2" s="32"/>
      <c r="W2" s="32"/>
    </row>
    <row r="3" spans="1:47" ht="20" customHeight="1" x14ac:dyDescent="0.25">
      <c r="J3" s="358" t="s">
        <v>153</v>
      </c>
      <c r="K3" s="358"/>
      <c r="L3" s="358"/>
      <c r="M3" s="358"/>
      <c r="N3" s="358"/>
      <c r="O3" s="358"/>
      <c r="P3" s="358"/>
      <c r="Q3" s="358"/>
    </row>
    <row r="4" spans="1:47" s="40" customFormat="1" ht="20" customHeight="1" x14ac:dyDescent="0.3">
      <c r="A4" s="150"/>
      <c r="B4" s="172"/>
      <c r="C4" s="169"/>
      <c r="D4" s="169"/>
      <c r="E4" s="169"/>
      <c r="F4" s="169"/>
      <c r="G4" s="169"/>
      <c r="H4" s="169"/>
      <c r="I4" s="169"/>
      <c r="J4" s="302">
        <v>1</v>
      </c>
      <c r="K4" s="302">
        <v>2</v>
      </c>
      <c r="L4" s="302">
        <v>3</v>
      </c>
      <c r="M4" s="302">
        <v>4</v>
      </c>
      <c r="N4" s="302">
        <v>5</v>
      </c>
      <c r="O4" s="302">
        <v>6</v>
      </c>
      <c r="P4" s="302">
        <v>7</v>
      </c>
      <c r="Q4" s="302">
        <v>8</v>
      </c>
      <c r="R4" s="287">
        <v>9</v>
      </c>
      <c r="S4" s="287">
        <v>10</v>
      </c>
      <c r="T4" s="287">
        <v>11</v>
      </c>
      <c r="U4" s="287">
        <v>12</v>
      </c>
      <c r="V4" s="287">
        <v>13</v>
      </c>
      <c r="W4" s="287">
        <v>14</v>
      </c>
      <c r="X4" s="287">
        <v>15</v>
      </c>
      <c r="Y4" s="287">
        <v>16</v>
      </c>
      <c r="Z4" s="287">
        <v>17</v>
      </c>
      <c r="AA4" s="287">
        <v>18</v>
      </c>
      <c r="AB4" s="287">
        <v>19</v>
      </c>
      <c r="AC4" s="287">
        <v>20</v>
      </c>
      <c r="AD4" s="287">
        <v>21</v>
      </c>
      <c r="AE4" s="287">
        <v>22</v>
      </c>
      <c r="AF4" s="287">
        <v>23</v>
      </c>
      <c r="AG4" s="287">
        <v>24</v>
      </c>
      <c r="AH4" s="287">
        <v>25</v>
      </c>
      <c r="AI4" s="287">
        <v>26</v>
      </c>
      <c r="AJ4" s="287">
        <v>27</v>
      </c>
      <c r="AK4" s="287">
        <v>28</v>
      </c>
      <c r="AL4" s="287">
        <v>29</v>
      </c>
      <c r="AM4" s="287">
        <v>30</v>
      </c>
      <c r="AN4" s="287">
        <v>31</v>
      </c>
      <c r="AO4" s="287">
        <v>32</v>
      </c>
      <c r="AP4" s="287">
        <v>33</v>
      </c>
      <c r="AQ4" s="287">
        <v>34</v>
      </c>
      <c r="AR4" s="287">
        <v>35</v>
      </c>
      <c r="AS4" s="287">
        <v>36</v>
      </c>
      <c r="AT4" s="287">
        <v>37</v>
      </c>
      <c r="AU4" s="287">
        <v>38</v>
      </c>
    </row>
    <row r="5" spans="1:47" ht="20" customHeight="1" x14ac:dyDescent="0.25">
      <c r="A5" s="120"/>
      <c r="B5" s="241" t="s">
        <v>19</v>
      </c>
      <c r="C5" s="242"/>
      <c r="D5" s="242"/>
      <c r="E5" s="216"/>
      <c r="F5" s="216"/>
      <c r="G5" s="216"/>
      <c r="H5" s="242"/>
      <c r="I5" s="242"/>
      <c r="J5" s="216"/>
      <c r="K5" s="216"/>
      <c r="L5" s="216"/>
      <c r="M5" s="216"/>
      <c r="N5" s="216"/>
      <c r="O5" s="216"/>
      <c r="P5" s="216"/>
      <c r="Q5" s="216"/>
      <c r="R5" s="216"/>
      <c r="S5" s="216"/>
      <c r="T5" s="216"/>
      <c r="U5" s="216"/>
      <c r="V5" s="216"/>
      <c r="W5" s="216"/>
      <c r="X5" s="216"/>
      <c r="Y5" s="216"/>
      <c r="Z5" s="216"/>
      <c r="AA5" s="216"/>
      <c r="AB5" s="216"/>
      <c r="AC5" s="216"/>
      <c r="AD5" s="216"/>
      <c r="AE5" s="216"/>
      <c r="AF5" s="243"/>
      <c r="AG5" s="243"/>
      <c r="AH5" s="243"/>
      <c r="AI5" s="243"/>
      <c r="AJ5" s="243"/>
      <c r="AK5" s="243"/>
      <c r="AL5" s="243"/>
      <c r="AM5" s="243"/>
      <c r="AN5" s="243"/>
      <c r="AO5" s="243"/>
      <c r="AP5" s="243"/>
      <c r="AQ5" s="243"/>
      <c r="AR5" s="243"/>
      <c r="AS5" s="243"/>
      <c r="AT5" s="243"/>
      <c r="AU5" s="243"/>
    </row>
    <row r="6" spans="1:47" ht="20" customHeight="1" x14ac:dyDescent="0.25">
      <c r="A6" s="120"/>
      <c r="B6" s="128" t="s">
        <v>20</v>
      </c>
      <c r="C6" s="123" t="s">
        <v>5</v>
      </c>
      <c r="D6" s="123"/>
      <c r="E6" s="186">
        <f>SUM(J6:N6)</f>
        <v>1</v>
      </c>
      <c r="F6" s="195"/>
      <c r="G6" s="195"/>
      <c r="H6" s="125"/>
      <c r="I6" s="123"/>
      <c r="J6" s="186">
        <f>IF(J4&lt;ROUNDUP(Pieņēmumi!$D$53,0),(Pieņēmumi!$D$54*Pieņēmumi!$D$15),IF(Finansējums!J4=ROUNDUP(Pieņēmumi!$D$53,0),(Pieņēmumi!$D$53-I4)*Pieņēmumi!$D$15*Pieņēmumi!$D$54,0))</f>
        <v>0.5</v>
      </c>
      <c r="K6" s="186">
        <f>IF(K4&lt;ROUNDUP(Pieņēmumi!$D$53,0),(Pieņēmumi!$D$54*Pieņēmumi!$D$15),IF(Finansējums!K4=ROUNDUP(Pieņēmumi!$D$53,0),(Pieņēmumi!$D$53-J4)*Pieņēmumi!$D$15*Pieņēmumi!$D$54,0))</f>
        <v>0.5</v>
      </c>
      <c r="L6" s="186">
        <f>IF(L4&lt;ROUNDUP(Pieņēmumi!$D$53,0),(Pieņēmumi!$D$54*Pieņēmumi!$D$15),IF(Finansējums!L4=ROUNDUP(Pieņēmumi!$D$53,0),(Pieņēmumi!$D$53-K4)*Pieņēmumi!$D$15*Pieņēmumi!$D$54,0))</f>
        <v>0</v>
      </c>
      <c r="M6" s="186">
        <f>IF(M4&lt;ROUNDUP(Pieņēmumi!$D$53,0),(Pieņēmumi!$D$54*Pieņēmumi!$D$15),IF(Finansējums!M4=ROUNDUP(Pieņēmumi!$D$53,0),(Pieņēmumi!$D$53-L4)*Pieņēmumi!$D$15*Pieņēmumi!$D$54,0))</f>
        <v>0</v>
      </c>
      <c r="N6" s="186">
        <f>IF(N4&lt;ROUNDUP(Pieņēmumi!$D$53,0),(Pieņēmumi!$D$54*Pieņēmumi!$D$15),IF(Finansējums!N4=ROUNDUP(Pieņēmumi!$D$53,0),(Pieņēmumi!$D$53-M4)*Pieņēmumi!$D$15*Pieņēmumi!$D$54,0))</f>
        <v>0</v>
      </c>
      <c r="O6" s="186">
        <f>IF(O4&lt;ROUNDUP(Pieņēmumi!$D$53,0),(Pieņēmumi!$D$54*Pieņēmumi!$D$15),IF(Finansējums!O4=ROUNDUP(Pieņēmumi!$D$53,0),(Pieņēmumi!$D$53-N4)*Pieņēmumi!$D$15*Pieņēmumi!$D$54,0))</f>
        <v>0</v>
      </c>
      <c r="P6" s="186">
        <f>IF(P4&lt;ROUNDUP(Pieņēmumi!$D$53,0),(Pieņēmumi!$D$54*Pieņēmumi!$D$15),IF(Finansējums!P4=ROUNDUP(Pieņēmumi!$D$53,0),(Pieņēmumi!$D$53-O4)*Pieņēmumi!$D$15*Pieņēmumi!$D$54,0))</f>
        <v>0</v>
      </c>
      <c r="Q6" s="186">
        <f>IF(Q4&lt;ROUNDUP(Pieņēmumi!$D$53,0),(Pieņēmumi!$D$54*Pieņēmumi!$D$15),IF(Finansējums!Q4=ROUNDUP(Pieņēmumi!$D$53,0),(Pieņēmumi!$D$53-P4)*Pieņēmumi!$D$15*Pieņēmumi!$D$54,0))</f>
        <v>0</v>
      </c>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S6" s="193"/>
    </row>
    <row r="7" spans="1:47" ht="20" customHeight="1" x14ac:dyDescent="0.25">
      <c r="A7" s="120"/>
      <c r="B7" s="128" t="s">
        <v>21</v>
      </c>
      <c r="C7" s="123" t="s">
        <v>8</v>
      </c>
      <c r="D7" s="123"/>
      <c r="E7" s="246">
        <f>-SUM('Naudas plūsma'!C15:G15)</f>
        <v>1247034.6636000001</v>
      </c>
      <c r="F7" s="185"/>
      <c r="G7" s="196"/>
      <c r="H7" s="116"/>
      <c r="I7" s="123"/>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S7" s="193"/>
    </row>
    <row r="8" spans="1:47" ht="20" customHeight="1" x14ac:dyDescent="0.25">
      <c r="A8" s="120"/>
      <c r="B8" s="128" t="s">
        <v>107</v>
      </c>
      <c r="C8" s="123" t="s">
        <v>8</v>
      </c>
      <c r="D8" s="123"/>
      <c r="E8" s="246">
        <f>IF(E7&lt;&gt;E16,E7-E16,0)</f>
        <v>0</v>
      </c>
      <c r="F8" s="185"/>
      <c r="G8" s="185"/>
      <c r="H8" s="123"/>
      <c r="I8" s="123"/>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S8" s="193"/>
    </row>
    <row r="9" spans="1:47" ht="20" customHeight="1" x14ac:dyDescent="0.25">
      <c r="A9" s="120"/>
      <c r="B9" s="241" t="s">
        <v>22</v>
      </c>
      <c r="C9" s="242"/>
      <c r="D9" s="242"/>
      <c r="E9" s="247"/>
      <c r="F9" s="216"/>
      <c r="G9" s="216"/>
      <c r="H9" s="242"/>
      <c r="I9" s="242"/>
      <c r="J9" s="216"/>
      <c r="K9" s="216"/>
      <c r="L9" s="216"/>
      <c r="M9" s="216"/>
      <c r="N9" s="216"/>
      <c r="O9" s="216"/>
      <c r="P9" s="216"/>
      <c r="Q9" s="216"/>
      <c r="R9" s="216"/>
      <c r="S9" s="216"/>
      <c r="T9" s="216"/>
      <c r="U9" s="216"/>
      <c r="V9" s="216"/>
      <c r="W9" s="216"/>
      <c r="X9" s="216"/>
      <c r="Y9" s="216"/>
      <c r="Z9" s="216"/>
      <c r="AA9" s="216"/>
      <c r="AB9" s="216"/>
      <c r="AC9" s="216"/>
      <c r="AD9" s="216"/>
      <c r="AE9" s="216"/>
      <c r="AF9" s="243"/>
      <c r="AG9" s="243"/>
      <c r="AH9" s="243"/>
      <c r="AI9" s="243"/>
      <c r="AJ9" s="243"/>
      <c r="AK9" s="243"/>
      <c r="AL9" s="243"/>
      <c r="AM9" s="243"/>
      <c r="AN9" s="243"/>
      <c r="AO9" s="243"/>
      <c r="AP9" s="243"/>
      <c r="AQ9" s="243"/>
      <c r="AR9" s="243"/>
      <c r="AS9" s="243"/>
      <c r="AT9" s="243"/>
      <c r="AU9" s="243"/>
    </row>
    <row r="10" spans="1:47" ht="20" customHeight="1" x14ac:dyDescent="0.25">
      <c r="A10" s="120"/>
      <c r="B10" s="130" t="s">
        <v>252</v>
      </c>
      <c r="C10" s="125" t="s">
        <v>8</v>
      </c>
      <c r="E10" s="246">
        <f>Pieņēmumi!D70*'Pamatkapitāla ieguldījumi'!E38</f>
        <v>47531.328000000009</v>
      </c>
      <c r="F10" s="185"/>
      <c r="G10" s="185"/>
      <c r="H10" s="123"/>
      <c r="I10" s="123"/>
      <c r="J10" s="185"/>
      <c r="K10" s="185"/>
      <c r="L10" s="185"/>
      <c r="M10" s="185"/>
      <c r="N10" s="185"/>
      <c r="O10" s="185"/>
      <c r="P10" s="185"/>
      <c r="Q10" s="185"/>
      <c r="R10" s="185"/>
      <c r="S10" s="185"/>
      <c r="T10" s="185"/>
      <c r="U10" s="185"/>
      <c r="V10" s="185"/>
      <c r="W10" s="185"/>
      <c r="X10" s="185"/>
      <c r="Y10" s="185"/>
      <c r="Z10" s="185"/>
      <c r="AA10" s="185"/>
      <c r="AB10" s="185"/>
      <c r="AC10" s="185"/>
      <c r="AD10" s="185"/>
      <c r="AE10" s="185"/>
      <c r="AF10" s="185"/>
      <c r="AG10" s="185"/>
      <c r="AH10" s="185"/>
      <c r="AI10" s="185"/>
      <c r="AJ10" s="185"/>
      <c r="AK10" s="185"/>
      <c r="AL10" s="185"/>
      <c r="AM10" s="185"/>
      <c r="AN10" s="185"/>
      <c r="AO10" s="185"/>
      <c r="AS10" s="193"/>
    </row>
    <row r="11" spans="1:47" ht="20" customHeight="1" x14ac:dyDescent="0.25">
      <c r="A11" s="120"/>
      <c r="B11" s="130" t="s">
        <v>253</v>
      </c>
      <c r="C11" s="125" t="s">
        <v>8</v>
      </c>
      <c r="E11" s="246">
        <f>Pieņēmumi!D71*'Pamatkapitāla ieguldījumi'!E39</f>
        <v>14820.405180000002</v>
      </c>
      <c r="F11" s="185"/>
      <c r="G11" s="185"/>
      <c r="H11" s="123"/>
      <c r="I11" s="123"/>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185"/>
      <c r="AK11" s="185"/>
      <c r="AL11" s="185"/>
      <c r="AM11" s="185"/>
      <c r="AN11" s="185"/>
      <c r="AO11" s="185"/>
      <c r="AS11" s="193"/>
    </row>
    <row r="12" spans="1:47" ht="26" x14ac:dyDescent="0.25">
      <c r="A12" s="120"/>
      <c r="B12" s="130" t="s">
        <v>207</v>
      </c>
      <c r="C12" s="125" t="s">
        <v>8</v>
      </c>
      <c r="E12" s="246">
        <f>Pieņēmumi!D73*'Pamatkapitāla ieguldījumi'!E38</f>
        <v>855563.9040000001</v>
      </c>
      <c r="F12" s="185"/>
      <c r="G12" s="282"/>
      <c r="H12" s="281"/>
      <c r="I12" s="123"/>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c r="AK12" s="185"/>
      <c r="AL12" s="185"/>
      <c r="AM12" s="185"/>
      <c r="AN12" s="185"/>
      <c r="AO12" s="185"/>
      <c r="AS12" s="193"/>
    </row>
    <row r="13" spans="1:47" ht="26" x14ac:dyDescent="0.25">
      <c r="A13" s="120"/>
      <c r="B13" s="130" t="s">
        <v>247</v>
      </c>
      <c r="C13" s="125" t="s">
        <v>8</v>
      </c>
      <c r="E13" s="246">
        <f>Pieņēmumi!D74*'Pamatkapitāla ieguldījumi'!E39</f>
        <v>133383.64662000001</v>
      </c>
      <c r="F13" s="185"/>
      <c r="G13" s="282"/>
      <c r="H13" s="281"/>
      <c r="I13" s="123"/>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S13" s="193"/>
    </row>
    <row r="14" spans="1:47" ht="26" x14ac:dyDescent="0.25">
      <c r="A14" s="120"/>
      <c r="B14" s="130" t="s">
        <v>254</v>
      </c>
      <c r="C14" s="125" t="s">
        <v>8</v>
      </c>
      <c r="E14" s="246">
        <f>Pieņēmumi!D75*'Pamatkapitāla ieguldījumi'!E38</f>
        <v>47531.328000000009</v>
      </c>
      <c r="F14" s="185"/>
      <c r="G14" s="282"/>
      <c r="H14" s="281"/>
      <c r="I14" s="123"/>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185"/>
      <c r="AM14" s="185"/>
      <c r="AN14" s="185"/>
      <c r="AO14" s="185"/>
      <c r="AS14" s="193"/>
    </row>
    <row r="15" spans="1:47" ht="26" x14ac:dyDescent="0.25">
      <c r="A15" s="120"/>
      <c r="B15" s="130" t="s">
        <v>118</v>
      </c>
      <c r="C15" s="125" t="s">
        <v>8</v>
      </c>
      <c r="E15" s="246">
        <f>Pieņēmumi!D76*'Pamatkapitāla ieguldījumi'!E39</f>
        <v>148204.05180000002</v>
      </c>
      <c r="F15" s="185"/>
      <c r="G15" s="185"/>
      <c r="H15" s="123"/>
      <c r="I15" s="123"/>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5"/>
      <c r="AL15" s="185"/>
      <c r="AM15" s="185"/>
      <c r="AN15" s="185"/>
      <c r="AO15" s="185"/>
      <c r="AS15" s="193"/>
    </row>
    <row r="16" spans="1:47" ht="20" customHeight="1" x14ac:dyDescent="0.25">
      <c r="A16" s="120"/>
      <c r="B16" s="128"/>
      <c r="C16" s="173" t="s">
        <v>25</v>
      </c>
      <c r="D16" s="173" t="s">
        <v>8</v>
      </c>
      <c r="E16" s="197">
        <f>SUM(E10:E11)+SUM(E12:E15)</f>
        <v>1247034.6636000001</v>
      </c>
      <c r="F16" s="185"/>
      <c r="G16" s="185"/>
      <c r="H16" s="123"/>
      <c r="I16" s="123"/>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S16" s="193"/>
    </row>
    <row r="17" spans="1:212" ht="26" x14ac:dyDescent="0.25">
      <c r="A17" s="120"/>
      <c r="B17" s="128" t="s">
        <v>62</v>
      </c>
      <c r="C17" s="123" t="s">
        <v>5</v>
      </c>
      <c r="D17" s="123"/>
      <c r="E17" s="198">
        <f>G17/$E$16</f>
        <v>0.05</v>
      </c>
      <c r="F17" s="125" t="s">
        <v>8</v>
      </c>
      <c r="G17" s="246">
        <f>SUM(E10:E11)</f>
        <v>62351.73318000001</v>
      </c>
      <c r="H17" s="174"/>
      <c r="I17" s="123"/>
      <c r="J17" s="258">
        <f>J6*$G$17</f>
        <v>31175.866590000005</v>
      </c>
      <c r="K17" s="258">
        <f>K6*$G$17</f>
        <v>31175.866590000005</v>
      </c>
      <c r="L17" s="258">
        <f t="shared" ref="L17:Q17" si="0">L6*$G$17</f>
        <v>0</v>
      </c>
      <c r="M17" s="258">
        <f t="shared" si="0"/>
        <v>0</v>
      </c>
      <c r="N17" s="258">
        <f t="shared" si="0"/>
        <v>0</v>
      </c>
      <c r="O17" s="258">
        <f t="shared" si="0"/>
        <v>0</v>
      </c>
      <c r="P17" s="258">
        <f t="shared" si="0"/>
        <v>0</v>
      </c>
      <c r="Q17" s="258">
        <f t="shared" si="0"/>
        <v>0</v>
      </c>
      <c r="R17" s="258"/>
      <c r="S17" s="258"/>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S17" s="193"/>
    </row>
    <row r="18" spans="1:212" ht="26" x14ac:dyDescent="0.25">
      <c r="A18" s="120"/>
      <c r="B18" s="128" t="s">
        <v>249</v>
      </c>
      <c r="C18" s="123" t="s">
        <v>5</v>
      </c>
      <c r="D18" s="123"/>
      <c r="E18" s="198">
        <f>G18/$E$16</f>
        <v>0.68607868648183101</v>
      </c>
      <c r="F18" s="175" t="s">
        <v>8</v>
      </c>
      <c r="G18" s="246">
        <f>E12</f>
        <v>855563.9040000001</v>
      </c>
      <c r="H18" s="174"/>
      <c r="I18" s="123"/>
      <c r="J18" s="258">
        <f>J6*$G$18</f>
        <v>427781.95200000005</v>
      </c>
      <c r="K18" s="258">
        <f>K6*$G$18</f>
        <v>427781.95200000005</v>
      </c>
      <c r="L18" s="258">
        <f t="shared" ref="L18:Q18" si="1">L6*$G$18</f>
        <v>0</v>
      </c>
      <c r="M18" s="258">
        <f t="shared" si="1"/>
        <v>0</v>
      </c>
      <c r="N18" s="258">
        <f t="shared" si="1"/>
        <v>0</v>
      </c>
      <c r="O18" s="258">
        <f>O6*$G$18</f>
        <v>0</v>
      </c>
      <c r="P18" s="258">
        <f t="shared" si="1"/>
        <v>0</v>
      </c>
      <c r="Q18" s="258">
        <f t="shared" si="1"/>
        <v>0</v>
      </c>
      <c r="R18" s="258"/>
      <c r="S18" s="258"/>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S18" s="193"/>
    </row>
    <row r="19" spans="1:212" ht="26" x14ac:dyDescent="0.25">
      <c r="A19" s="120"/>
      <c r="B19" s="128" t="s">
        <v>250</v>
      </c>
      <c r="E19" s="198">
        <f>G19/$E$16</f>
        <v>0.1069606567590845</v>
      </c>
      <c r="F19" s="175"/>
      <c r="G19" s="246">
        <f>E13</f>
        <v>133383.64662000001</v>
      </c>
      <c r="H19" s="174"/>
      <c r="I19" s="123"/>
      <c r="J19" s="258">
        <f>J6*$G$19</f>
        <v>66691.823310000007</v>
      </c>
      <c r="K19" s="258">
        <f>K6*$G$19</f>
        <v>66691.823310000007</v>
      </c>
      <c r="L19" s="258">
        <f t="shared" ref="L19:Q19" si="2">L6*$G$19</f>
        <v>0</v>
      </c>
      <c r="M19" s="258">
        <f t="shared" si="2"/>
        <v>0</v>
      </c>
      <c r="N19" s="258">
        <f t="shared" si="2"/>
        <v>0</v>
      </c>
      <c r="O19" s="258">
        <f t="shared" si="2"/>
        <v>0</v>
      </c>
      <c r="P19" s="258">
        <f t="shared" si="2"/>
        <v>0</v>
      </c>
      <c r="Q19" s="258">
        <f t="shared" si="2"/>
        <v>0</v>
      </c>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S19" s="193"/>
    </row>
    <row r="20" spans="1:212" ht="20" customHeight="1" x14ac:dyDescent="0.25">
      <c r="A20" s="120"/>
      <c r="B20" s="128" t="s">
        <v>63</v>
      </c>
      <c r="C20" s="123" t="s">
        <v>5</v>
      </c>
      <c r="D20" s="123"/>
      <c r="E20" s="198">
        <f>G20/$E$16</f>
        <v>0.15696065675908449</v>
      </c>
      <c r="F20" s="175" t="s">
        <v>8</v>
      </c>
      <c r="G20" s="246">
        <f>SUM(E14:E15)</f>
        <v>195735.37980000002</v>
      </c>
      <c r="H20" s="174"/>
      <c r="I20" s="123"/>
      <c r="J20" s="258">
        <f t="shared" ref="J20:Q20" si="3">J6*$G$20</f>
        <v>97867.689900000012</v>
      </c>
      <c r="K20" s="258">
        <f t="shared" si="3"/>
        <v>97867.689900000012</v>
      </c>
      <c r="L20" s="258">
        <f t="shared" si="3"/>
        <v>0</v>
      </c>
      <c r="M20" s="258">
        <f t="shared" si="3"/>
        <v>0</v>
      </c>
      <c r="N20" s="258">
        <f t="shared" si="3"/>
        <v>0</v>
      </c>
      <c r="O20" s="258">
        <f t="shared" si="3"/>
        <v>0</v>
      </c>
      <c r="P20" s="258">
        <f t="shared" si="3"/>
        <v>0</v>
      </c>
      <c r="Q20" s="258">
        <f t="shared" si="3"/>
        <v>0</v>
      </c>
      <c r="R20" s="258"/>
      <c r="S20" s="258"/>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S20" s="193"/>
    </row>
    <row r="21" spans="1:212" ht="20" customHeight="1" x14ac:dyDescent="0.25">
      <c r="A21" s="120"/>
      <c r="B21" s="128"/>
      <c r="C21" s="123"/>
      <c r="D21" s="123"/>
      <c r="E21" s="198"/>
      <c r="F21" s="175"/>
      <c r="G21" s="174"/>
      <c r="H21" s="174"/>
      <c r="I21" s="123"/>
      <c r="J21" s="258"/>
      <c r="K21" s="258"/>
      <c r="L21" s="258"/>
      <c r="M21" s="258"/>
      <c r="N21" s="258"/>
      <c r="O21" s="258"/>
      <c r="P21" s="258"/>
      <c r="Q21" s="258"/>
      <c r="R21" s="258"/>
      <c r="S21" s="258"/>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S21" s="193"/>
    </row>
    <row r="22" spans="1:212" s="43" customFormat="1" ht="20" customHeight="1" x14ac:dyDescent="0.25">
      <c r="A22" s="126"/>
      <c r="B22" s="176" t="s">
        <v>48</v>
      </c>
      <c r="C22" s="123" t="s">
        <v>8</v>
      </c>
      <c r="D22" s="126"/>
      <c r="E22" s="199"/>
      <c r="F22" s="187"/>
      <c r="G22" s="187"/>
      <c r="H22" s="126"/>
      <c r="I22" s="126"/>
      <c r="J22" s="258">
        <f>J36+J50+J63</f>
        <v>592341.46521000005</v>
      </c>
      <c r="K22" s="258">
        <f>K36+K50+K63</f>
        <v>592341.46521000005</v>
      </c>
      <c r="L22" s="258">
        <f t="shared" ref="L22:Q22" si="4">L36+L63</f>
        <v>0</v>
      </c>
      <c r="M22" s="258">
        <f t="shared" si="4"/>
        <v>0</v>
      </c>
      <c r="N22" s="258">
        <f t="shared" si="4"/>
        <v>0</v>
      </c>
      <c r="O22" s="258">
        <f t="shared" si="4"/>
        <v>0</v>
      </c>
      <c r="P22" s="258">
        <f t="shared" si="4"/>
        <v>0</v>
      </c>
      <c r="Q22" s="258">
        <f t="shared" si="4"/>
        <v>0</v>
      </c>
      <c r="R22" s="258"/>
      <c r="S22" s="258"/>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S22" s="193"/>
    </row>
    <row r="23" spans="1:212" s="75" customFormat="1" ht="20" customHeight="1" x14ac:dyDescent="0.25">
      <c r="A23" s="254"/>
      <c r="B23" s="259" t="s">
        <v>28</v>
      </c>
      <c r="C23" s="123" t="s">
        <v>8</v>
      </c>
      <c r="D23" s="254"/>
      <c r="E23" s="260"/>
      <c r="F23" s="258"/>
      <c r="G23" s="258"/>
      <c r="H23" s="254"/>
      <c r="I23" s="254"/>
      <c r="J23" s="258">
        <f t="shared" ref="J23:AU23" si="5">J40+J53+J66</f>
        <v>-8488.1182749</v>
      </c>
      <c r="K23" s="258">
        <f t="shared" si="5"/>
        <v>-25464.354824700004</v>
      </c>
      <c r="L23" s="258">
        <f t="shared" si="5"/>
        <v>-30102.435531600004</v>
      </c>
      <c r="M23" s="258">
        <f t="shared" si="5"/>
        <v>-26252.397963600004</v>
      </c>
      <c r="N23" s="258">
        <f t="shared" si="5"/>
        <v>-26252.397963600004</v>
      </c>
      <c r="O23" s="258">
        <f t="shared" si="5"/>
        <v>-26252.397963600004</v>
      </c>
      <c r="P23" s="258">
        <f t="shared" si="5"/>
        <v>-26252.397963600004</v>
      </c>
      <c r="Q23" s="258">
        <f t="shared" si="5"/>
        <v>-25909.861048950006</v>
      </c>
      <c r="R23" s="258">
        <f t="shared" si="5"/>
        <v>-25224.787219650003</v>
      </c>
      <c r="S23" s="258">
        <f t="shared" si="5"/>
        <v>-24539.713390350003</v>
      </c>
      <c r="T23" s="258">
        <f t="shared" si="5"/>
        <v>-23854.639561050004</v>
      </c>
      <c r="U23" s="258">
        <f t="shared" si="5"/>
        <v>-23169.565731750004</v>
      </c>
      <c r="V23" s="258">
        <f t="shared" si="5"/>
        <v>-21699.337205790005</v>
      </c>
      <c r="W23" s="258">
        <f t="shared" si="5"/>
        <v>-19443.953983170002</v>
      </c>
      <c r="X23" s="258">
        <f t="shared" si="5"/>
        <v>-17188.570760550003</v>
      </c>
      <c r="Y23" s="258">
        <f t="shared" si="5"/>
        <v>-14933.18753793</v>
      </c>
      <c r="Z23" s="258">
        <f t="shared" si="5"/>
        <v>-12677.804315310002</v>
      </c>
      <c r="AA23" s="258">
        <f t="shared" si="5"/>
        <v>-11165.1089472</v>
      </c>
      <c r="AB23" s="258">
        <f t="shared" si="5"/>
        <v>-10395.101433600001</v>
      </c>
      <c r="AC23" s="258">
        <f t="shared" si="5"/>
        <v>-9625.0939200000012</v>
      </c>
      <c r="AD23" s="258">
        <f t="shared" si="5"/>
        <v>-8855.0864063999998</v>
      </c>
      <c r="AE23" s="258">
        <f t="shared" si="5"/>
        <v>-8085.0788928000002</v>
      </c>
      <c r="AF23" s="258">
        <f t="shared" si="5"/>
        <v>-7315.0713791999997</v>
      </c>
      <c r="AG23" s="258">
        <f t="shared" si="5"/>
        <v>-6545.0638655999992</v>
      </c>
      <c r="AH23" s="258">
        <f t="shared" si="5"/>
        <v>-5775.0563519999987</v>
      </c>
      <c r="AI23" s="258">
        <f t="shared" si="5"/>
        <v>-5005.0488383999991</v>
      </c>
      <c r="AJ23" s="258">
        <f t="shared" si="5"/>
        <v>-4235.0413248000004</v>
      </c>
      <c r="AK23" s="258">
        <f t="shared" si="5"/>
        <v>-3465.0338111999999</v>
      </c>
      <c r="AL23" s="258">
        <f t="shared" si="5"/>
        <v>-2695.0262976000004</v>
      </c>
      <c r="AM23" s="258">
        <f t="shared" si="5"/>
        <v>-1925.0187839999999</v>
      </c>
      <c r="AN23" s="258">
        <f t="shared" si="5"/>
        <v>-1155.0112704000001</v>
      </c>
      <c r="AO23" s="258">
        <f t="shared" si="5"/>
        <v>-385.00375680000002</v>
      </c>
      <c r="AP23" s="258">
        <f t="shared" si="5"/>
        <v>0</v>
      </c>
      <c r="AQ23" s="258">
        <f t="shared" si="5"/>
        <v>0</v>
      </c>
      <c r="AR23" s="258">
        <f t="shared" si="5"/>
        <v>0</v>
      </c>
      <c r="AS23" s="258">
        <f t="shared" si="5"/>
        <v>0</v>
      </c>
      <c r="AT23" s="258">
        <f t="shared" si="5"/>
        <v>0</v>
      </c>
      <c r="AU23" s="258">
        <f t="shared" si="5"/>
        <v>0</v>
      </c>
      <c r="AV23" s="258"/>
    </row>
    <row r="24" spans="1:212" s="75" customFormat="1" ht="20" customHeight="1" x14ac:dyDescent="0.25">
      <c r="A24" s="254"/>
      <c r="B24" s="259" t="s">
        <v>29</v>
      </c>
      <c r="C24" s="123" t="s">
        <v>8</v>
      </c>
      <c r="D24" s="254"/>
      <c r="E24" s="260"/>
      <c r="F24" s="258"/>
      <c r="G24" s="258"/>
      <c r="H24" s="254"/>
      <c r="I24" s="254"/>
      <c r="J24" s="258">
        <f t="shared" ref="J24:AU24" si="6">J37+J51+J64</f>
        <v>0</v>
      </c>
      <c r="K24" s="258">
        <f t="shared" si="6"/>
        <v>0</v>
      </c>
      <c r="L24" s="258">
        <f t="shared" si="6"/>
        <v>0</v>
      </c>
      <c r="M24" s="258">
        <f t="shared" si="6"/>
        <v>0</v>
      </c>
      <c r="N24" s="258">
        <f t="shared" si="6"/>
        <v>0</v>
      </c>
      <c r="O24" s="258">
        <f t="shared" si="6"/>
        <v>0</v>
      </c>
      <c r="P24" s="258">
        <f t="shared" si="6"/>
        <v>0</v>
      </c>
      <c r="Q24" s="258">
        <f t="shared" si="6"/>
        <v>-19573.537980000001</v>
      </c>
      <c r="R24" s="258">
        <f t="shared" si="6"/>
        <v>-19573.537980000005</v>
      </c>
      <c r="S24" s="258">
        <f t="shared" si="6"/>
        <v>-19573.537980000005</v>
      </c>
      <c r="T24" s="258">
        <f t="shared" si="6"/>
        <v>-19573.537980000005</v>
      </c>
      <c r="U24" s="258">
        <f t="shared" si="6"/>
        <v>-19573.537980000005</v>
      </c>
      <c r="V24" s="258">
        <f t="shared" si="6"/>
        <v>-74769.064104000019</v>
      </c>
      <c r="W24" s="258">
        <f t="shared" si="6"/>
        <v>-74769.064104000019</v>
      </c>
      <c r="X24" s="258">
        <f t="shared" si="6"/>
        <v>-74769.064104000019</v>
      </c>
      <c r="Y24" s="258">
        <f t="shared" si="6"/>
        <v>-74769.064104000019</v>
      </c>
      <c r="Z24" s="258">
        <f t="shared" si="6"/>
        <v>-74769.064104000019</v>
      </c>
      <c r="AA24" s="258">
        <f t="shared" si="6"/>
        <v>-28518.796800000004</v>
      </c>
      <c r="AB24" s="258">
        <f t="shared" si="6"/>
        <v>-28518.796800000004</v>
      </c>
      <c r="AC24" s="258">
        <f t="shared" si="6"/>
        <v>-28518.796800000004</v>
      </c>
      <c r="AD24" s="258">
        <f t="shared" si="6"/>
        <v>-28518.7968</v>
      </c>
      <c r="AE24" s="258">
        <f t="shared" si="6"/>
        <v>-28518.7968</v>
      </c>
      <c r="AF24" s="258">
        <f t="shared" si="6"/>
        <v>-28518.7968</v>
      </c>
      <c r="AG24" s="258">
        <f t="shared" si="6"/>
        <v>-28518.796799999996</v>
      </c>
      <c r="AH24" s="258">
        <f t="shared" si="6"/>
        <v>-28518.796799999996</v>
      </c>
      <c r="AI24" s="258">
        <f t="shared" si="6"/>
        <v>-28518.796799999993</v>
      </c>
      <c r="AJ24" s="258">
        <f t="shared" si="6"/>
        <v>-28518.796799999996</v>
      </c>
      <c r="AK24" s="258">
        <f t="shared" si="6"/>
        <v>-28518.7968</v>
      </c>
      <c r="AL24" s="258">
        <f t="shared" si="6"/>
        <v>-28518.7968</v>
      </c>
      <c r="AM24" s="258">
        <f t="shared" si="6"/>
        <v>-28518.7968</v>
      </c>
      <c r="AN24" s="258">
        <f t="shared" si="6"/>
        <v>-28518.796800000004</v>
      </c>
      <c r="AO24" s="258">
        <f t="shared" si="6"/>
        <v>-28518.796800000004</v>
      </c>
      <c r="AP24" s="258">
        <f t="shared" si="6"/>
        <v>0</v>
      </c>
      <c r="AQ24" s="258">
        <f t="shared" si="6"/>
        <v>0</v>
      </c>
      <c r="AR24" s="258">
        <f t="shared" si="6"/>
        <v>0</v>
      </c>
      <c r="AS24" s="258">
        <f t="shared" si="6"/>
        <v>0</v>
      </c>
      <c r="AT24" s="258">
        <f t="shared" si="6"/>
        <v>0</v>
      </c>
      <c r="AU24" s="258">
        <f t="shared" si="6"/>
        <v>0</v>
      </c>
    </row>
    <row r="25" spans="1:212" ht="20" customHeight="1" x14ac:dyDescent="0.25">
      <c r="A25" s="120"/>
      <c r="B25" s="241" t="s">
        <v>23</v>
      </c>
      <c r="C25" s="242"/>
      <c r="D25" s="242"/>
      <c r="E25" s="216"/>
      <c r="F25" s="216"/>
      <c r="G25" s="216"/>
      <c r="H25" s="242"/>
      <c r="I25" s="242"/>
      <c r="J25" s="216"/>
      <c r="K25" s="216"/>
      <c r="L25" s="216"/>
      <c r="M25" s="216"/>
      <c r="N25" s="216"/>
      <c r="O25" s="216"/>
      <c r="P25" s="216"/>
      <c r="Q25" s="216"/>
      <c r="R25" s="216"/>
      <c r="S25" s="216"/>
      <c r="T25" s="216"/>
      <c r="U25" s="216"/>
      <c r="V25" s="216"/>
      <c r="W25" s="216"/>
      <c r="X25" s="216"/>
      <c r="Y25" s="216"/>
      <c r="Z25" s="216"/>
      <c r="AA25" s="216"/>
      <c r="AB25" s="216"/>
      <c r="AC25" s="216"/>
      <c r="AD25" s="216"/>
      <c r="AE25" s="216"/>
      <c r="AF25" s="243"/>
      <c r="AG25" s="243"/>
      <c r="AH25" s="243"/>
      <c r="AI25" s="243"/>
      <c r="AJ25" s="243"/>
      <c r="AK25" s="243"/>
      <c r="AL25" s="243"/>
      <c r="AM25" s="243"/>
      <c r="AN25" s="243"/>
      <c r="AO25" s="243"/>
      <c r="AP25" s="243"/>
      <c r="AQ25" s="243"/>
      <c r="AR25" s="243"/>
      <c r="AS25" s="243"/>
      <c r="AT25" s="243"/>
      <c r="AU25" s="243"/>
    </row>
    <row r="26" spans="1:212" ht="20" customHeight="1" x14ac:dyDescent="0.25">
      <c r="A26" s="120"/>
      <c r="B26" s="128" t="s">
        <v>26</v>
      </c>
      <c r="C26" s="123" t="s">
        <v>5</v>
      </c>
      <c r="D26" s="123"/>
      <c r="E26" s="198">
        <f>E17</f>
        <v>0.05</v>
      </c>
      <c r="F26" s="185"/>
      <c r="G26" s="185"/>
      <c r="H26" s="123"/>
      <c r="I26" s="123"/>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359"/>
      <c r="AQ26" s="359"/>
      <c r="AR26" s="359"/>
      <c r="AS26" s="359"/>
      <c r="AT26" s="359"/>
      <c r="AU26" s="359"/>
      <c r="AV26" s="359"/>
      <c r="AW26" s="359"/>
      <c r="AX26" s="359"/>
      <c r="AY26" s="359"/>
      <c r="AZ26" s="359"/>
      <c r="BA26" s="359"/>
    </row>
    <row r="27" spans="1:212" ht="20" customHeight="1" x14ac:dyDescent="0.25">
      <c r="A27" s="120"/>
      <c r="B27" s="128" t="s">
        <v>27</v>
      </c>
      <c r="C27" s="123" t="s">
        <v>8</v>
      </c>
      <c r="D27" s="123"/>
      <c r="E27" s="261">
        <f>SUM(J27:K27)</f>
        <v>62351.73318000001</v>
      </c>
      <c r="F27" s="185"/>
      <c r="G27" s="185"/>
      <c r="H27" s="123"/>
      <c r="I27" s="123"/>
      <c r="J27" s="258">
        <f t="shared" ref="J27:Q27" si="7">J17</f>
        <v>31175.866590000005</v>
      </c>
      <c r="K27" s="258">
        <f t="shared" si="7"/>
        <v>31175.866590000005</v>
      </c>
      <c r="L27" s="258">
        <f t="shared" si="7"/>
        <v>0</v>
      </c>
      <c r="M27" s="258">
        <f t="shared" si="7"/>
        <v>0</v>
      </c>
      <c r="N27" s="258">
        <f t="shared" si="7"/>
        <v>0</v>
      </c>
      <c r="O27" s="258">
        <f t="shared" si="7"/>
        <v>0</v>
      </c>
      <c r="P27" s="258">
        <f t="shared" si="7"/>
        <v>0</v>
      </c>
      <c r="Q27" s="258">
        <f t="shared" si="7"/>
        <v>0</v>
      </c>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258"/>
      <c r="AP27" s="359"/>
      <c r="AQ27" s="359"/>
      <c r="AR27" s="359"/>
      <c r="AS27" s="359"/>
      <c r="AT27" s="359"/>
      <c r="AU27" s="359"/>
      <c r="AV27" s="359"/>
      <c r="AW27" s="359"/>
      <c r="AX27" s="359"/>
      <c r="AY27" s="359"/>
      <c r="AZ27" s="359"/>
      <c r="BA27" s="359"/>
    </row>
    <row r="28" spans="1:212" s="57" customFormat="1" ht="20" customHeight="1" x14ac:dyDescent="0.25">
      <c r="A28" s="53"/>
      <c r="B28" s="154" t="s">
        <v>248</v>
      </c>
      <c r="C28" s="155"/>
      <c r="D28" s="155"/>
      <c r="E28" s="155"/>
      <c r="F28" s="155"/>
      <c r="G28" s="155"/>
      <c r="H28" s="155"/>
      <c r="I28" s="155"/>
      <c r="J28" s="283">
        <f>IF($F$33=TRUE,(IF(J4&lt;=(ROUNDUP(Pieņēmumi!$D$53,0)+$E$32),(IF(J4&lt;=ROUNDUP(Pieņēmumi!$D$53,0)+$E$34,IF(ROUNDUP(Pieņēmumi!$D$53,0)+$E$34=Finansējums!J4,(Finansējums!J4-Pieņēmumi!$D$53-$E$34),0),IF(J4=($E$32+ROUNDUP(Pieņēmumi!$D$53,0)),(1-(ROUNDUP(Pieņēmumi!$D$53,0)-Pieņēmumi!$D$53)),1))),0)),(IF(J4&lt;=($E$32+ROUNDUP(Pieņēmumi!$D$53,0)),IF(Finansējums!J4&lt;=ROUNDUP(Pieņēmumi!$D$53,0),IF(Finansējums!J4=ROUNDUP(Pieņēmumi!$D$53,0),J4-Pieņēmumi!$D$53,0),IF(J4=($E$32+ROUNDUP(Pieņēmumi!$D$53,0)),(1-(ROUNDUP(Pieņēmumi!$D$53,0)-Pieņēmumi!$D$53)),1)),0)))</f>
        <v>0</v>
      </c>
      <c r="K28" s="283">
        <f>IF($F$33=TRUE,(IF(K4&lt;=(ROUNDUP(Pieņēmumi!$D$53,0)+$E$32),(IF(K4&lt;=ROUNDUP(Pieņēmumi!$D$53,0)+$E$34,IF(ROUNDUP(Pieņēmumi!$D$53,0)+$E$34=Finansējums!K4,(Finansējums!K4-Pieņēmumi!$D$53-$E$34),0),IF(K4=($E$32+ROUNDUP(Pieņēmumi!$D$53,0)),(1-(ROUNDUP(Pieņēmumi!$D$53,0)-Pieņēmumi!$D$53)),1))),0)),(IF(K4&lt;=($E$32+ROUNDUP(Pieņēmumi!$D$53,0)),IF(Finansējums!K4&lt;=ROUNDUP(Pieņēmumi!$D$53,0),IF(Finansējums!K4=ROUNDUP(Pieņēmumi!$D$53,0),K4-Pieņēmumi!$D$53,0),IF(K4=($E$32+ROUNDUP(Pieņēmumi!$D$53,0)),(1-(ROUNDUP(Pieņēmumi!$D$53,0)-Pieņēmumi!$D$53)),1)),0)))</f>
        <v>0</v>
      </c>
      <c r="L28" s="283">
        <f>IF($F$33=TRUE,(IF(L4&lt;=(ROUNDUP(Pieņēmumi!$D$53,0)+$E$32),(IF(L4&lt;=ROUNDUP(Pieņēmumi!$D$53,0)+$E$34,IF(ROUNDUP(Pieņēmumi!$D$53,0)+$E$34=Finansējums!L4,(Finansējums!L4-Pieņēmumi!$D$53-$E$34),0),IF(L4=($E$32+ROUNDUP(Pieņēmumi!$D$53,0)),(1-(ROUNDUP(Pieņēmumi!$D$53,0)-Pieņēmumi!$D$53)),1))),0)),(IF(L4&lt;=($E$32+ROUNDUP(Pieņēmumi!$D$53,0)),IF(Finansējums!L4&lt;=ROUNDUP(Pieņēmumi!$D$53,0),IF(Finansējums!L4=ROUNDUP(Pieņēmumi!$D$53,0),L4-Pieņēmumi!$D$53,0),IF(L4=($E$32+ROUNDUP(Pieņēmumi!$D$53,0)),(1-(ROUNDUP(Pieņēmumi!$D$53,0)-Pieņēmumi!$D$53)),1)),0)))</f>
        <v>0</v>
      </c>
      <c r="M28" s="283">
        <f>IF($F$33=TRUE,(IF(M4&lt;=(ROUNDUP(Pieņēmumi!$D$53,0)+$E$32),(IF(M4&lt;=ROUNDUP(Pieņēmumi!$D$53,0)+$E$34,IF(ROUNDUP(Pieņēmumi!$D$53,0)+$E$34=Finansējums!M4,(Finansējums!M4-Pieņēmumi!$D$53-$E$34),0),IF(M4=($E$32+ROUNDUP(Pieņēmumi!$D$53,0)),(1-(ROUNDUP(Pieņēmumi!$D$53,0)-Pieņēmumi!$D$53)),1))),0)),(IF(M4&lt;=($E$32+ROUNDUP(Pieņēmumi!$D$53,0)),IF(Finansējums!M4&lt;=ROUNDUP(Pieņēmumi!$D$53,0),IF(Finansējums!M4=ROUNDUP(Pieņēmumi!$D$53,0),M4-Pieņēmumi!$D$53,0),IF(M4=($E$32+ROUNDUP(Pieņēmumi!$D$53,0)),(1-(ROUNDUP(Pieņēmumi!$D$53,0)-Pieņēmumi!$D$53)),1)),0)))</f>
        <v>0</v>
      </c>
      <c r="N28" s="283">
        <f>IF($F$33=TRUE,(IF(N4&lt;=(ROUNDUP(Pieņēmumi!$D$53,0)+$E$32),(IF(N4&lt;=ROUNDUP(Pieņēmumi!$D$53,0)+$E$34,IF(ROUNDUP(Pieņēmumi!$D$53,0)+$E$34=Finansējums!N4,(Finansējums!N4-Pieņēmumi!$D$53-$E$34),0),IF(N4=($E$32+ROUNDUP(Pieņēmumi!$D$53,0)),(1-(ROUNDUP(Pieņēmumi!$D$53,0)-Pieņēmumi!$D$53)),1))),0)),(IF(N4&lt;=($E$32+ROUNDUP(Pieņēmumi!$D$53,0)),IF(Finansējums!N4&lt;=ROUNDUP(Pieņēmumi!$D$53,0),IF(Finansējums!N4=ROUNDUP(Pieņēmumi!$D$53,0),N4-Pieņēmumi!$D$53,0),IF(N4=($E$32+ROUNDUP(Pieņēmumi!$D$53,0)),(1-(ROUNDUP(Pieņēmumi!$D$53,0)-Pieņēmumi!$D$53)),1)),0)))</f>
        <v>0</v>
      </c>
      <c r="O28" s="283">
        <f>IF($F$33=TRUE,(IF(O4&lt;=(ROUNDUP(Pieņēmumi!$D$53,0)+$E$32),(IF(O4&lt;=ROUNDUP(Pieņēmumi!$D$53,0)+$E$34,IF(ROUNDUP(Pieņēmumi!$D$53,0)+$E$34=Finansējums!O4,(Finansējums!O4-Pieņēmumi!$D$53-$E$34),0),IF(O4=($E$32+ROUNDUP(Pieņēmumi!$D$53,0)),(1-(ROUNDUP(Pieņēmumi!$D$53,0)-Pieņēmumi!$D$53)),1))),0)),(IF(O4&lt;=($E$32+ROUNDUP(Pieņēmumi!$D$53,0)),IF(Finansējums!O4&lt;=ROUNDUP(Pieņēmumi!$D$53,0),IF(Finansējums!O4=ROUNDUP(Pieņēmumi!$D$53,0),O4-Pieņēmumi!$D$53,0),IF(O4=($E$32+ROUNDUP(Pieņēmumi!$D$53,0)),(1-(ROUNDUP(Pieņēmumi!$D$53,0)-Pieņēmumi!$D$53)),1)),0)))</f>
        <v>0</v>
      </c>
      <c r="P28" s="283">
        <f>IF($F$33=TRUE,(IF(P4&lt;=(ROUNDUP(Pieņēmumi!$D$53,0)+$E$32),(IF(P4&lt;=ROUNDUP(Pieņēmumi!$D$53,0)+$E$34,IF(ROUNDUP(Pieņēmumi!$D$53,0)+$E$34=Finansējums!P4,(Finansējums!P4-Pieņēmumi!$D$53-$E$34),0),IF(P4=($E$32+ROUNDUP(Pieņēmumi!$D$53,0)),(1-(ROUNDUP(Pieņēmumi!$D$53,0)-Pieņēmumi!$D$53)),1))),0)),(IF(P4&lt;=($E$32+ROUNDUP(Pieņēmumi!$D$53,0)),IF(Finansējums!P4&lt;=ROUNDUP(Pieņēmumi!$D$53,0),IF(Finansējums!P4=ROUNDUP(Pieņēmumi!$D$53,0),P4-Pieņēmumi!$D$53,0),IF(P4=($E$32+ROUNDUP(Pieņēmumi!$D$53,0)),(1-(ROUNDUP(Pieņēmumi!$D$53,0)-Pieņēmumi!$D$53)),1)),0)))</f>
        <v>0</v>
      </c>
      <c r="Q28" s="283">
        <f>IF($F$33=TRUE,(IF(Q4&lt;=(ROUNDUP(Pieņēmumi!$D$53,0)+$E$32),(IF(Q4&lt;=ROUNDUP(Pieņēmumi!$D$53,0)+$E$34,IF(ROUNDUP(Pieņēmumi!$D$53,0)+$E$34=Finansējums!Q4,(Finansējums!Q4-Pieņēmumi!$D$53-$E$34),0),IF(Q4=($E$32+ROUNDUP(Pieņēmumi!$D$53,0)),(1-(ROUNDUP(Pieņēmumi!$D$53,0)-Pieņēmumi!$D$53)),1))),0)),(IF(Q4&lt;=($E$32+ROUNDUP(Pieņēmumi!$D$53,0)),IF(Finansējums!Q4&lt;=ROUNDUP(Pieņēmumi!$D$53,0),IF(Finansējums!Q4=ROUNDUP(Pieņēmumi!$D$53,0),Q4-Pieņēmumi!$D$53,0),IF(Q4=($E$32+ROUNDUP(Pieņēmumi!$D$53,0)),(1-(ROUNDUP(Pieņēmumi!$D$53,0)-Pieņēmumi!$D$53)),1)),0)))</f>
        <v>0</v>
      </c>
      <c r="R28" s="283">
        <f>IF($F$33=TRUE,(IF(R4&lt;=(ROUNDUP(Pieņēmumi!$D$53,0)+$E$32),(IF(R4&lt;=ROUNDUP(Pieņēmumi!$D$53,0)+$E$34,IF(ROUNDUP(Pieņēmumi!$D$53,0)+$E$34=Finansējums!R4,(Finansējums!R4-Pieņēmumi!$D$53-$E$34),0),IF(R4=($E$32+ROUNDUP(Pieņēmumi!$D$53,0)),(1-(ROUNDUP(Pieņēmumi!$D$53,0)-Pieņēmumi!$D$53)),1))),0)),(IF(R4&lt;=($E$32+ROUNDUP(Pieņēmumi!$D$53,0)),IF(Finansējums!R4&lt;=ROUNDUP(Pieņēmumi!$D$53,0),IF(Finansējums!R4=ROUNDUP(Pieņēmumi!$D$53,0),R4-Pieņēmumi!$D$53,0),IF(R4=($E$32+ROUNDUP(Pieņēmumi!$D$53,0)),(1-(ROUNDUP(Pieņēmumi!$D$53,0)-Pieņēmumi!$D$53)),1)),0)))</f>
        <v>0</v>
      </c>
      <c r="S28" s="283">
        <f>IF($F$33=TRUE,(IF(S4&lt;=(ROUNDUP(Pieņēmumi!$D$53,0)+$E$32),(IF(S4&lt;=ROUNDUP(Pieņēmumi!$D$53,0)+$E$34,IF(ROUNDUP(Pieņēmumi!$D$53,0)+$E$34=Finansējums!S4,(Finansējums!S4-Pieņēmumi!$D$53-$E$34),0),IF(S4=($E$32+ROUNDUP(Pieņēmumi!$D$53,0)),(1-(ROUNDUP(Pieņēmumi!$D$53,0)-Pieņēmumi!$D$53)),1))),0)),(IF(S4&lt;=($E$32+ROUNDUP(Pieņēmumi!$D$53,0)),IF(Finansējums!S4&lt;=ROUNDUP(Pieņēmumi!$D$53,0),IF(Finansējums!S4=ROUNDUP(Pieņēmumi!$D$53,0),S4-Pieņēmumi!$D$53,0),IF(S4=($E$32+ROUNDUP(Pieņēmumi!$D$53,0)),(1-(ROUNDUP(Pieņēmumi!$D$53,0)-Pieņēmumi!$D$53)),1)),0)))</f>
        <v>0</v>
      </c>
      <c r="T28" s="283">
        <f>IF($F$33=TRUE,(IF(T4&lt;=(ROUNDUP(Pieņēmumi!$D$53,0)+$E$32),(IF(T4&lt;=ROUNDUP(Pieņēmumi!$D$53,0)+$E$34,IF(ROUNDUP(Pieņēmumi!$D$53,0)+$E$34=Finansējums!T4,(Finansējums!T4-Pieņēmumi!$D$53-$E$34),0),IF(T4=($E$32+ROUNDUP(Pieņēmumi!$D$53,0)),(1-(ROUNDUP(Pieņēmumi!$D$53,0)-Pieņēmumi!$D$53)),1))),0)),(IF(T4&lt;=($E$32+ROUNDUP(Pieņēmumi!$D$53,0)),IF(Finansējums!T4&lt;=ROUNDUP(Pieņēmumi!$D$53,0),IF(Finansējums!T4=ROUNDUP(Pieņēmumi!$D$53,0),T4-Pieņēmumi!$D$53,0),IF(T4=($E$32+ROUNDUP(Pieņēmumi!$D$53,0)),(1-(ROUNDUP(Pieņēmumi!$D$53,0)-Pieņēmumi!$D$53)),1)),0)))</f>
        <v>0</v>
      </c>
      <c r="U28" s="283">
        <f>IF($F$33=TRUE,(IF(U4&lt;=(ROUNDUP(Pieņēmumi!$D$53,0)+$E$32),(IF(U4&lt;=ROUNDUP(Pieņēmumi!$D$53,0)+$E$34,IF(ROUNDUP(Pieņēmumi!$D$53,0)+$E$34=Finansējums!U4,(Finansējums!U4-Pieņēmumi!$D$53-$E$34),0),IF(U4=($E$32+ROUNDUP(Pieņēmumi!$D$53,0)),(1-(ROUNDUP(Pieņēmumi!$D$53,0)-Pieņēmumi!$D$53)),1))),0)),(IF(U4&lt;=($E$32+ROUNDUP(Pieņēmumi!$D$53,0)),IF(Finansējums!U4&lt;=ROUNDUP(Pieņēmumi!$D$53,0),IF(Finansējums!U4=ROUNDUP(Pieņēmumi!$D$53,0),U4-Pieņēmumi!$D$53,0),IF(U4=($E$32+ROUNDUP(Pieņēmumi!$D$53,0)),(1-(ROUNDUP(Pieņēmumi!$D$53,0)-Pieņēmumi!$D$53)),1)),0)))</f>
        <v>0</v>
      </c>
      <c r="V28" s="283">
        <f>IF($F$33=TRUE,(IF(V4&lt;=(ROUNDUP(Pieņēmumi!$D$53,0)+$E$32),(IF(V4&lt;=ROUNDUP(Pieņēmumi!$D$53,0)+$E$34,IF(ROUNDUP(Pieņēmumi!$D$53,0)+$E$34=Finansējums!V4,(Finansējums!V4-Pieņēmumi!$D$53-$E$34),0),IF(V4=($E$32+ROUNDUP(Pieņēmumi!$D$53,0)),(1-(ROUNDUP(Pieņēmumi!$D$53,0)-Pieņēmumi!$D$53)),1))),0)),(IF(V4&lt;=($E$32+ROUNDUP(Pieņēmumi!$D$53,0)),IF(Finansējums!V4&lt;=ROUNDUP(Pieņēmumi!$D$53,0),IF(Finansējums!V4=ROUNDUP(Pieņēmumi!$D$53,0),V4-Pieņēmumi!$D$53,0),IF(V4=($E$32+ROUNDUP(Pieņēmumi!$D$53,0)),(1-(ROUNDUP(Pieņēmumi!$D$53,0)-Pieņēmumi!$D$53)),1)),0)))</f>
        <v>1</v>
      </c>
      <c r="W28" s="283">
        <f>IF($F$33=TRUE,(IF(W4&lt;=(ROUNDUP(Pieņēmumi!$D$53,0)+$E$32),(IF(W4&lt;=ROUNDUP(Pieņēmumi!$D$53,0)+$E$34,IF(ROUNDUP(Pieņēmumi!$D$53,0)+$E$34=Finansējums!W4,(Finansējums!W4-Pieņēmumi!$D$53-$E$34),0),IF(W4=($E$32+ROUNDUP(Pieņēmumi!$D$53,0)),(1-(ROUNDUP(Pieņēmumi!$D$53,0)-Pieņēmumi!$D$53)),1))),0)),(IF(W4&lt;=($E$32+ROUNDUP(Pieņēmumi!$D$53,0)),IF(Finansējums!W4&lt;=ROUNDUP(Pieņēmumi!$D$53,0),IF(Finansējums!W4=ROUNDUP(Pieņēmumi!$D$53,0),W4-Pieņēmumi!$D$53,0),IF(W4=($E$32+ROUNDUP(Pieņēmumi!$D$53,0)),(1-(ROUNDUP(Pieņēmumi!$D$53,0)-Pieņēmumi!$D$53)),1)),0)))</f>
        <v>1</v>
      </c>
      <c r="X28" s="283">
        <f>IF($F$33=TRUE,(IF(X4&lt;=(ROUNDUP(Pieņēmumi!$D$53,0)+$E$32),(IF(X4&lt;=ROUNDUP(Pieņēmumi!$D$53,0)+$E$34,IF(ROUNDUP(Pieņēmumi!$D$53,0)+$E$34=Finansējums!X4,(Finansējums!X4-Pieņēmumi!$D$53-$E$34),0),IF(X4=($E$32+ROUNDUP(Pieņēmumi!$D$53,0)),(1-(ROUNDUP(Pieņēmumi!$D$53,0)-Pieņēmumi!$D$53)),1))),0)),(IF(X4&lt;=($E$32+ROUNDUP(Pieņēmumi!$D$53,0)),IF(Finansējums!X4&lt;=ROUNDUP(Pieņēmumi!$D$53,0),IF(Finansējums!X4=ROUNDUP(Pieņēmumi!$D$53,0),X4-Pieņēmumi!$D$53,0),IF(X4=($E$32+ROUNDUP(Pieņēmumi!$D$53,0)),(1-(ROUNDUP(Pieņēmumi!$D$53,0)-Pieņēmumi!$D$53)),1)),0)))</f>
        <v>1</v>
      </c>
      <c r="Y28" s="283">
        <f>IF($F$33=TRUE,(IF(Y4&lt;=(ROUNDUP(Pieņēmumi!$D$53,0)+$E$32),(IF(Y4&lt;=ROUNDUP(Pieņēmumi!$D$53,0)+$E$34,IF(ROUNDUP(Pieņēmumi!$D$53,0)+$E$34=Finansējums!Y4,(Finansējums!Y4-Pieņēmumi!$D$53-$E$34),0),IF(Y4=($E$32+ROUNDUP(Pieņēmumi!$D$53,0)),(1-(ROUNDUP(Pieņēmumi!$D$53,0)-Pieņēmumi!$D$53)),1))),0)),(IF(Y4&lt;=($E$32+ROUNDUP(Pieņēmumi!$D$53,0)),IF(Finansējums!Y4&lt;=ROUNDUP(Pieņēmumi!$D$53,0),IF(Finansējums!Y4=ROUNDUP(Pieņēmumi!$D$53,0),Y4-Pieņēmumi!$D$53,0),IF(Y4=($E$32+ROUNDUP(Pieņēmumi!$D$53,0)),(1-(ROUNDUP(Pieņēmumi!$D$53,0)-Pieņēmumi!$D$53)),1)),0)))</f>
        <v>1</v>
      </c>
      <c r="Z28" s="283">
        <f>IF($F$33=TRUE,(IF(Z4&lt;=(ROUNDUP(Pieņēmumi!$D$53,0)+$E$32),(IF(Z4&lt;=ROUNDUP(Pieņēmumi!$D$53,0)+$E$34,IF(ROUNDUP(Pieņēmumi!$D$53,0)+$E$34=Finansējums!Z4,(Finansējums!Z4-Pieņēmumi!$D$53-$E$34),0),IF(Z4=($E$32+ROUNDUP(Pieņēmumi!$D$53,0)),(1-(ROUNDUP(Pieņēmumi!$D$53,0)-Pieņēmumi!$D$53)),1))),0)),(IF(Z4&lt;=($E$32+ROUNDUP(Pieņēmumi!$D$53,0)),IF(Finansējums!Z4&lt;=ROUNDUP(Pieņēmumi!$D$53,0),IF(Finansējums!Z4=ROUNDUP(Pieņēmumi!$D$53,0),Z4-Pieņēmumi!$D$53,0),IF(Z4=($E$32+ROUNDUP(Pieņēmumi!$D$53,0)),(1-(ROUNDUP(Pieņēmumi!$D$53,0)-Pieņēmumi!$D$53)),1)),0)))</f>
        <v>1</v>
      </c>
      <c r="AA28" s="283">
        <f>IF($F$33=TRUE,(IF(AA4&lt;=(ROUNDUP(Pieņēmumi!$D$53,0)+$E$32),(IF(AA4&lt;=ROUNDUP(Pieņēmumi!$D$53,0)+$E$34,IF(ROUNDUP(Pieņēmumi!$D$53,0)+$E$34=Finansējums!AA4,(Finansējums!AA4-Pieņēmumi!$D$53-$E$34),0),IF(AA4=($E$32+ROUNDUP(Pieņēmumi!$D$53,0)),(1-(ROUNDUP(Pieņēmumi!$D$53,0)-Pieņēmumi!$D$53)),1))),0)),(IF(AA4&lt;=($E$32+ROUNDUP(Pieņēmumi!$D$53,0)),IF(Finansējums!AA4&lt;=ROUNDUP(Pieņēmumi!$D$53,0),IF(Finansējums!AA4=ROUNDUP(Pieņēmumi!$D$53,0),AA4-Pieņēmumi!$D$53,0),IF(AA4=($E$32+ROUNDUP(Pieņēmumi!$D$53,0)),(1-(ROUNDUP(Pieņēmumi!$D$53,0)-Pieņēmumi!$D$53)),1)),0)))</f>
        <v>1</v>
      </c>
      <c r="AB28" s="283">
        <f>IF($F$33=TRUE,(IF(AB4&lt;=(ROUNDUP(Pieņēmumi!$D$53,0)+$E$32),(IF(AB4&lt;=ROUNDUP(Pieņēmumi!$D$53,0)+$E$34,IF(ROUNDUP(Pieņēmumi!$D$53,0)+$E$34=Finansējums!AB4,(Finansējums!AB4-Pieņēmumi!$D$53-$E$34),0),IF(AB4=($E$32+ROUNDUP(Pieņēmumi!$D$53,0)),(1-(ROUNDUP(Pieņēmumi!$D$53,0)-Pieņēmumi!$D$53)),1))),0)),(IF(AB4&lt;=($E$32+ROUNDUP(Pieņēmumi!$D$53,0)),IF(Finansējums!AB4&lt;=ROUNDUP(Pieņēmumi!$D$53,0),IF(Finansējums!AB4=ROUNDUP(Pieņēmumi!$D$53,0),AB4-Pieņēmumi!$D$53,0),IF(AB4=($E$32+ROUNDUP(Pieņēmumi!$D$53,0)),(1-(ROUNDUP(Pieņēmumi!$D$53,0)-Pieņēmumi!$D$53)),1)),0)))</f>
        <v>1</v>
      </c>
      <c r="AC28" s="283">
        <f>IF($F$33=TRUE,(IF(AC4&lt;=(ROUNDUP(Pieņēmumi!$D$53,0)+$E$32),(IF(AC4&lt;=ROUNDUP(Pieņēmumi!$D$53,0)+$E$34,IF(ROUNDUP(Pieņēmumi!$D$53,0)+$E$34=Finansējums!AC4,(Finansējums!AC4-Pieņēmumi!$D$53-$E$34),0),IF(AC4=($E$32+ROUNDUP(Pieņēmumi!$D$53,0)),(1-(ROUNDUP(Pieņēmumi!$D$53,0)-Pieņēmumi!$D$53)),1))),0)),(IF(AC4&lt;=($E$32+ROUNDUP(Pieņēmumi!$D$53,0)),IF(Finansējums!AC4&lt;=ROUNDUP(Pieņēmumi!$D$53,0),IF(Finansējums!AC4=ROUNDUP(Pieņēmumi!$D$53,0),AC4-Pieņēmumi!$D$53,0),IF(AC4=($E$32+ROUNDUP(Pieņēmumi!$D$53,0)),(1-(ROUNDUP(Pieņēmumi!$D$53,0)-Pieņēmumi!$D$53)),1)),0)))</f>
        <v>1</v>
      </c>
      <c r="AD28" s="283">
        <f>IF($F$33=TRUE,(IF(AD4&lt;=(ROUNDUP(Pieņēmumi!$D$53,0)+$E$32),(IF(AD4&lt;=ROUNDUP(Pieņēmumi!$D$53,0)+$E$34,IF(ROUNDUP(Pieņēmumi!$D$53,0)+$E$34=Finansējums!AD4,(Finansējums!AD4-Pieņēmumi!$D$53-$E$34),0),IF(AD4=($E$32+ROUNDUP(Pieņēmumi!$D$53,0)),(1-(ROUNDUP(Pieņēmumi!$D$53,0)-Pieņēmumi!$D$53)),1))),0)),(IF(AD4&lt;=($E$32+ROUNDUP(Pieņēmumi!$D$53,0)),IF(Finansējums!AD4&lt;=ROUNDUP(Pieņēmumi!$D$53,0),IF(Finansējums!AD4=ROUNDUP(Pieņēmumi!$D$53,0),AD4-Pieņēmumi!$D$53,0),IF(AD4=($E$32+ROUNDUP(Pieņēmumi!$D$53,0)),(1-(ROUNDUP(Pieņēmumi!$D$53,0)-Pieņēmumi!$D$53)),1)),0)))</f>
        <v>1</v>
      </c>
      <c r="AE28" s="283">
        <f>IF($F$33=TRUE,(IF(AE4&lt;=(ROUNDUP(Pieņēmumi!$D$53,0)+$E$32),(IF(AE4&lt;=ROUNDUP(Pieņēmumi!$D$53,0)+$E$34,IF(ROUNDUP(Pieņēmumi!$D$53,0)+$E$34=Finansējums!AE4,(Finansējums!AE4-Pieņēmumi!$D$53-$E$34),0),IF(AE4=($E$32+ROUNDUP(Pieņēmumi!$D$53,0)),(1-(ROUNDUP(Pieņēmumi!$D$53,0)-Pieņēmumi!$D$53)),1))),0)),(IF(AE4&lt;=($E$32+ROUNDUP(Pieņēmumi!$D$53,0)),IF(Finansējums!AE4&lt;=ROUNDUP(Pieņēmumi!$D$53,0),IF(Finansējums!AE4=ROUNDUP(Pieņēmumi!$D$53,0),AE4-Pieņēmumi!$D$53,0),IF(AE4=($E$32+ROUNDUP(Pieņēmumi!$D$53,0)),(1-(ROUNDUP(Pieņēmumi!$D$53,0)-Pieņēmumi!$D$53)),1)),0)))</f>
        <v>1</v>
      </c>
      <c r="AF28" s="283">
        <f>IF($F$33=TRUE,(IF(AF4&lt;=(ROUNDUP(Pieņēmumi!$D$53,0)+$E$32),(IF(AF4&lt;=ROUNDUP(Pieņēmumi!$D$53,0)+$E$34,IF(ROUNDUP(Pieņēmumi!$D$53,0)+$E$34=Finansējums!AF4,(Finansējums!AF4-Pieņēmumi!$D$53-$E$34),0),IF(AF4=($E$32+ROUNDUP(Pieņēmumi!$D$53,0)),(1-(ROUNDUP(Pieņēmumi!$D$53,0)-Pieņēmumi!$D$53)),1))),0)),(IF(AF4&lt;=($E$32+ROUNDUP(Pieņēmumi!$D$53,0)),IF(Finansējums!AF4&lt;=ROUNDUP(Pieņēmumi!$D$53,0),IF(Finansējums!AF4=ROUNDUP(Pieņēmumi!$D$53,0),AF4-Pieņēmumi!$D$53,0),IF(AF4=($E$32+ROUNDUP(Pieņēmumi!$D$53,0)),(1-(ROUNDUP(Pieņēmumi!$D$53,0)-Pieņēmumi!$D$53)),1)),0)))</f>
        <v>1</v>
      </c>
      <c r="AG28" s="283">
        <f>IF($F$33=TRUE,(IF(AG4&lt;=(ROUNDUP(Pieņēmumi!$D$53,0)+$E$32),(IF(AG4&lt;=ROUNDUP(Pieņēmumi!$D$53,0)+$E$34,IF(ROUNDUP(Pieņēmumi!$D$53,0)+$E$34=Finansējums!AG4,(Finansējums!AG4-Pieņēmumi!$D$53-$E$34),0),IF(AG4=($E$32+ROUNDUP(Pieņēmumi!$D$53,0)),(1-(ROUNDUP(Pieņēmumi!$D$53,0)-Pieņēmumi!$D$53)),1))),0)),(IF(AG4&lt;=($E$32+ROUNDUP(Pieņēmumi!$D$53,0)),IF(Finansējums!AG4&lt;=ROUNDUP(Pieņēmumi!$D$53,0),IF(Finansējums!AG4=ROUNDUP(Pieņēmumi!$D$53,0),AG4-Pieņēmumi!$D$53,0),IF(AG4=($E$32+ROUNDUP(Pieņēmumi!$D$53,0)),(1-(ROUNDUP(Pieņēmumi!$D$53,0)-Pieņēmumi!$D$53)),1)),0)))</f>
        <v>1</v>
      </c>
      <c r="AH28" s="283">
        <f>IF($F$33=TRUE,(IF(AH4&lt;=(ROUNDUP(Pieņēmumi!$D$53,0)+$E$32),(IF(AH4&lt;=ROUNDUP(Pieņēmumi!$D$53,0)+$E$34,IF(ROUNDUP(Pieņēmumi!$D$53,0)+$E$34=Finansējums!AH4,(Finansējums!AH4-Pieņēmumi!$D$53-$E$34),0),IF(AH4=($E$32+ROUNDUP(Pieņēmumi!$D$53,0)),(1-(ROUNDUP(Pieņēmumi!$D$53,0)-Pieņēmumi!$D$53)),1))),0)),(IF(AH4&lt;=($E$32+ROUNDUP(Pieņēmumi!$D$53,0)),IF(Finansējums!AH4&lt;=ROUNDUP(Pieņēmumi!$D$53,0),IF(Finansējums!AH4=ROUNDUP(Pieņēmumi!$D$53,0),AH4-Pieņēmumi!$D$53,0),IF(AH4=($E$32+ROUNDUP(Pieņēmumi!$D$53,0)),(1-(ROUNDUP(Pieņēmumi!$D$53,0)-Pieņēmumi!$D$53)),1)),0)))</f>
        <v>1</v>
      </c>
      <c r="AI28" s="283">
        <f>IF($F$33=TRUE,(IF(AI4&lt;=(ROUNDUP(Pieņēmumi!$D$53,0)+$E$32),(IF(AI4&lt;=ROUNDUP(Pieņēmumi!$D$53,0)+$E$34,IF(ROUNDUP(Pieņēmumi!$D$53,0)+$E$34=Finansējums!AI4,(Finansējums!AI4-Pieņēmumi!$D$53-$E$34),0),IF(AI4=($E$32+ROUNDUP(Pieņēmumi!$D$53,0)),(1-(ROUNDUP(Pieņēmumi!$D$53,0)-Pieņēmumi!$D$53)),1))),0)),(IF(AI4&lt;=($E$32+ROUNDUP(Pieņēmumi!$D$53,0)),IF(Finansējums!AI4&lt;=ROUNDUP(Pieņēmumi!$D$53,0),IF(Finansējums!AI4=ROUNDUP(Pieņēmumi!$D$53,0),AI4-Pieņēmumi!$D$53,0),IF(AI4=($E$32+ROUNDUP(Pieņēmumi!$D$53,0)),(1-(ROUNDUP(Pieņēmumi!$D$53,0)-Pieņēmumi!$D$53)),1)),0)))</f>
        <v>1</v>
      </c>
      <c r="AJ28" s="283">
        <f>IF($F$33=TRUE,(IF(AJ4&lt;=(ROUNDUP(Pieņēmumi!$D$53,0)+$E$32),(IF(AJ4&lt;=ROUNDUP(Pieņēmumi!$D$53,0)+$E$34,IF(ROUNDUP(Pieņēmumi!$D$53,0)+$E$34=Finansējums!AJ4,(Finansējums!AJ4-Pieņēmumi!$D$53-$E$34),0),IF(AJ4=($E$32+ROUNDUP(Pieņēmumi!$D$53,0)),(1-(ROUNDUP(Pieņēmumi!$D$53,0)-Pieņēmumi!$D$53)),1))),0)),(IF(AJ4&lt;=($E$32+ROUNDUP(Pieņēmumi!$D$53,0)),IF(Finansējums!AJ4&lt;=ROUNDUP(Pieņēmumi!$D$53,0),IF(Finansējums!AJ4=ROUNDUP(Pieņēmumi!$D$53,0),AJ4-Pieņēmumi!$D$53,0),IF(AJ4=($E$32+ROUNDUP(Pieņēmumi!$D$53,0)),(1-(ROUNDUP(Pieņēmumi!$D$53,0)-Pieņēmumi!$D$53)),1)),0)))</f>
        <v>1</v>
      </c>
      <c r="AK28" s="283">
        <f>IF($F$33=TRUE,(IF(AK4&lt;=(ROUNDUP(Pieņēmumi!$D$53,0)+$E$32),(IF(AK4&lt;=ROUNDUP(Pieņēmumi!$D$53,0)+$E$34,IF(ROUNDUP(Pieņēmumi!$D$53,0)+$E$34=Finansējums!AK4,(Finansējums!AK4-Pieņēmumi!$D$53-$E$34),0),IF(AK4=($E$32+ROUNDUP(Pieņēmumi!$D$53,0)),(1-(ROUNDUP(Pieņēmumi!$D$53,0)-Pieņēmumi!$D$53)),1))),0)),(IF(AK4&lt;=($E$32+ROUNDUP(Pieņēmumi!$D$53,0)),IF(Finansējums!AK4&lt;=ROUNDUP(Pieņēmumi!$D$53,0),IF(Finansējums!AK4=ROUNDUP(Pieņēmumi!$D$53,0),AK4-Pieņēmumi!$D$53,0),IF(AK4=($E$32+ROUNDUP(Pieņēmumi!$D$53,0)),(1-(ROUNDUP(Pieņēmumi!$D$53,0)-Pieņēmumi!$D$53)),1)),0)))</f>
        <v>1</v>
      </c>
      <c r="AL28" s="283">
        <f>IF($F$33=TRUE,(IF(AL4&lt;=(ROUNDUP(Pieņēmumi!$D$53,0)+$E$32),(IF(AL4&lt;=ROUNDUP(Pieņēmumi!$D$53,0)+$E$34,IF(ROUNDUP(Pieņēmumi!$D$53,0)+$E$34=Finansējums!AL4,(Finansējums!AL4-Pieņēmumi!$D$53-$E$34),0),IF(AL4=($E$32+ROUNDUP(Pieņēmumi!$D$53,0)),(1-(ROUNDUP(Pieņēmumi!$D$53,0)-Pieņēmumi!$D$53)),1))),0)),(IF(AL4&lt;=($E$32+ROUNDUP(Pieņēmumi!$D$53,0)),IF(Finansējums!AL4&lt;=ROUNDUP(Pieņēmumi!$D$53,0),IF(Finansējums!AL4=ROUNDUP(Pieņēmumi!$D$53,0),AL4-Pieņēmumi!$D$53,0),IF(AL4=($E$32+ROUNDUP(Pieņēmumi!$D$53,0)),(1-(ROUNDUP(Pieņēmumi!$D$53,0)-Pieņēmumi!$D$53)),1)),0)))</f>
        <v>1</v>
      </c>
      <c r="AM28" s="283">
        <f>IF($F$33=TRUE,(IF(AM4&lt;=(ROUNDUP(Pieņēmumi!$D$53,0)+$E$32),(IF(AM4&lt;=ROUNDUP(Pieņēmumi!$D$53,0)+$E$34,IF(ROUNDUP(Pieņēmumi!$D$53,0)+$E$34=Finansējums!AM4,(Finansējums!AM4-Pieņēmumi!$D$53-$E$34),0),IF(AM4=($E$32+ROUNDUP(Pieņēmumi!$D$53,0)),(1-(ROUNDUP(Pieņēmumi!$D$53,0)-Pieņēmumi!$D$53)),1))),0)),(IF(AM4&lt;=($E$32+ROUNDUP(Pieņēmumi!$D$53,0)),IF(Finansējums!AM4&lt;=ROUNDUP(Pieņēmumi!$D$53,0),IF(Finansējums!AM4=ROUNDUP(Pieņēmumi!$D$53,0),AM4-Pieņēmumi!$D$53,0),IF(AM4=($E$32+ROUNDUP(Pieņēmumi!$D$53,0)),(1-(ROUNDUP(Pieņēmumi!$D$53,0)-Pieņēmumi!$D$53)),1)),0)))</f>
        <v>1</v>
      </c>
      <c r="AN28" s="283">
        <f>IF($F$33=TRUE,(IF(AN4&lt;=(ROUNDUP(Pieņēmumi!$D$53,0)+$E$32),(IF(AN4&lt;=ROUNDUP(Pieņēmumi!$D$53,0)+$E$34,IF(ROUNDUP(Pieņēmumi!$D$53,0)+$E$34=Finansējums!AN4,(Finansējums!AN4-Pieņēmumi!$D$53-$E$34),0),IF(AN4=($E$32+ROUNDUP(Pieņēmumi!$D$53,0)),(1-(ROUNDUP(Pieņēmumi!$D$53,0)-Pieņēmumi!$D$53)),1))),0)),(IF(AN4&lt;=($E$32+ROUNDUP(Pieņēmumi!$D$53,0)),IF(Finansējums!AN4&lt;=ROUNDUP(Pieņēmumi!$D$53,0),IF(Finansējums!AN4=ROUNDUP(Pieņēmumi!$D$53,0),AN4-Pieņēmumi!$D$53,0),IF(AN4=($E$32+ROUNDUP(Pieņēmumi!$D$53,0)),(1-(ROUNDUP(Pieņēmumi!$D$53,0)-Pieņēmumi!$D$53)),1)),0)))</f>
        <v>1</v>
      </c>
      <c r="AO28" s="283">
        <f>IF($F$33=TRUE,(IF(AO4&lt;=(ROUNDUP(Pieņēmumi!$D$53,0)+$E$32),(IF(AO4&lt;=ROUNDUP(Pieņēmumi!$D$53,0)+$E$34,IF(ROUNDUP(Pieņēmumi!$D$53,0)+$E$34=Finansējums!AO4,(Finansējums!AO4-Pieņēmumi!$D$53-$E$34),0),IF(AO4=($E$32+ROUNDUP(Pieņēmumi!$D$53,0)),(1-(ROUNDUP(Pieņēmumi!$D$53,0)-Pieņēmumi!$D$53)),1))),0)),(IF(AO4&lt;=($E$32+ROUNDUP(Pieņēmumi!$D$53,0)),IF(Finansējums!AO4&lt;=ROUNDUP(Pieņēmumi!$D$53,0),IF(Finansējums!AO4=ROUNDUP(Pieņēmumi!$D$53,0),AO4-Pieņēmumi!$D$53,0),IF(AO4=($E$32+ROUNDUP(Pieņēmumi!$D$53,0)),(1-(ROUNDUP(Pieņēmumi!$D$53,0)-Pieņēmumi!$D$53)),1)),0)))</f>
        <v>1</v>
      </c>
      <c r="AP28" s="283">
        <f>IF($F$33=TRUE,(IF(AP4&lt;=(ROUNDUP(Pieņēmumi!$D$53,0)+$E$32),(IF(AP4&lt;=ROUNDUP(Pieņēmumi!$D$53,0)+$E$34,IF(ROUNDUP(Pieņēmumi!$D$53,0)+$E$34=Finansējums!AP4,(Finansējums!AP4-Pieņēmumi!$D$53-$E$34),0),IF(AP4=($E$32+ROUNDUP(Pieņēmumi!$D$53,0)),(1-(ROUNDUP(Pieņēmumi!$D$53,0)-Pieņēmumi!$D$53)),1))),0)),(IF(AP4&lt;=($E$32+ROUNDUP(Pieņēmumi!$D$53,0)),IF(Finansējums!AP4&lt;=ROUNDUP(Pieņēmumi!$D$53,0),IF(Finansējums!AP4=ROUNDUP(Pieņēmumi!$D$53,0),AP4-Pieņēmumi!$D$53,0),IF(AP4=($E$32+ROUNDUP(Pieņēmumi!$D$53,0)),(1-(ROUNDUP(Pieņēmumi!$D$53,0)-Pieņēmumi!$D$53)),1)),0)))</f>
        <v>0</v>
      </c>
      <c r="AQ28" s="283">
        <f>IF($F$33=TRUE,(IF(AQ4&lt;=(ROUNDUP(Pieņēmumi!$D$53,0)+$E$32),(IF(AQ4&lt;=ROUNDUP(Pieņēmumi!$D$53,0)+$E$34,IF(ROUNDUP(Pieņēmumi!$D$53,0)+$E$34=Finansējums!AQ4,(Finansējums!AQ4-Pieņēmumi!$D$53-$E$34),0),IF(AQ4=($E$32+ROUNDUP(Pieņēmumi!$D$53,0)),(1-(ROUNDUP(Pieņēmumi!$D$53,0)-Pieņēmumi!$D$53)),1))),0)),(IF(AQ4&lt;=($E$32+ROUNDUP(Pieņēmumi!$D$53,0)),IF(Finansējums!AQ4&lt;=ROUNDUP(Pieņēmumi!$D$53,0),IF(Finansējums!AQ4=ROUNDUP(Pieņēmumi!$D$53,0),AQ4-Pieņēmumi!$D$53,0),IF(AQ4=($E$32+ROUNDUP(Pieņēmumi!$D$53,0)),(1-(ROUNDUP(Pieņēmumi!$D$53,0)-Pieņēmumi!$D$53)),1)),0)))</f>
        <v>0</v>
      </c>
      <c r="AR28" s="283">
        <f>IF($F$33=TRUE,(IF(AR4&lt;=(ROUNDUP(Pieņēmumi!$D$53,0)+$E$32),(IF(AR4&lt;=ROUNDUP(Pieņēmumi!$D$53,0)+$E$34,IF(ROUNDUP(Pieņēmumi!$D$53,0)+$E$34=Finansējums!AR4,(Finansējums!AR4-Pieņēmumi!$D$53-$E$34),0),IF(AR4=($E$32+ROUNDUP(Pieņēmumi!$D$53,0)),(1-(ROUNDUP(Pieņēmumi!$D$53,0)-Pieņēmumi!$D$53)),1))),0)),(IF(AR4&lt;=($E$32+ROUNDUP(Pieņēmumi!$D$53,0)),IF(Finansējums!AR4&lt;=ROUNDUP(Pieņēmumi!$D$53,0),IF(Finansējums!AR4=ROUNDUP(Pieņēmumi!$D$53,0),AR4-Pieņēmumi!$D$53,0),IF(AR4=($E$32+ROUNDUP(Pieņēmumi!$D$53,0)),(1-(ROUNDUP(Pieņēmumi!$D$53,0)-Pieņēmumi!$D$53)),1)),0)))</f>
        <v>0</v>
      </c>
      <c r="AS28" s="283">
        <f>IF($F$33=TRUE,(IF(AS4&lt;=(ROUNDUP(Pieņēmumi!$D$53,0)+$E$32),(IF(AS4&lt;=ROUNDUP(Pieņēmumi!$D$53,0)+$E$34,IF(ROUNDUP(Pieņēmumi!$D$53,0)+$E$34=Finansējums!AS4,(Finansējums!AS4-Pieņēmumi!$D$53-$E$34),0),IF(AS4=($E$32+ROUNDUP(Pieņēmumi!$D$53,0)),(1-(ROUNDUP(Pieņēmumi!$D$53,0)-Pieņēmumi!$D$53)),1))),0)),(IF(AS4&lt;=($E$32+ROUNDUP(Pieņēmumi!$D$53,0)),IF(Finansējums!AS4&lt;=ROUNDUP(Pieņēmumi!$D$53,0),IF(Finansējums!AS4=ROUNDUP(Pieņēmumi!$D$53,0),AS4-Pieņēmumi!$D$53,0),IF(AS4=($E$32+ROUNDUP(Pieņēmumi!$D$53,0)),(1-(ROUNDUP(Pieņēmumi!$D$53,0)-Pieņēmumi!$D$53)),1)),0)))</f>
        <v>0</v>
      </c>
      <c r="AT28" s="283">
        <f>IF($F$33=TRUE,(IF(AT4&lt;=(ROUNDUP(Pieņēmumi!$D$53,0)+$E$32),(IF(AT4&lt;=ROUNDUP(Pieņēmumi!$D$53,0)+$E$34,IF(ROUNDUP(Pieņēmumi!$D$53,0)+$E$34=Finansējums!AT4,(Finansējums!AT4-Pieņēmumi!$D$53-$E$34),0),IF(AT4=($E$32+ROUNDUP(Pieņēmumi!$D$53,0)),(1-(ROUNDUP(Pieņēmumi!$D$53,0)-Pieņēmumi!$D$53)),1))),0)),(IF(AT4&lt;=($E$32+ROUNDUP(Pieņēmumi!$D$53,0)),IF(Finansējums!AT4&lt;=ROUNDUP(Pieņēmumi!$D$53,0),IF(Finansējums!AT4=ROUNDUP(Pieņēmumi!$D$53,0),AT4-Pieņēmumi!$D$53,0),IF(AT4=($E$32+ROUNDUP(Pieņēmumi!$D$53,0)),(1-(ROUNDUP(Pieņēmumi!$D$53,0)-Pieņēmumi!$D$53)),1)),0)))</f>
        <v>0</v>
      </c>
      <c r="AU28" s="283">
        <f>IF($F$33=TRUE,(IF(AU4&lt;=(ROUNDUP(Pieņēmumi!$D$53,0)+$E$32),(IF(AU4&lt;=ROUNDUP(Pieņēmumi!$D$53,0)+$E$34,IF(ROUNDUP(Pieņēmumi!$D$53,0)+$E$34=Finansējums!AU4,(Finansējums!AU4-Pieņēmumi!$D$53-$E$34),0),IF(AU4=($E$32+ROUNDUP(Pieņēmumi!$D$53,0)),(1-(ROUNDUP(Pieņēmumi!$D$53,0)-Pieņēmumi!$D$53)),1))),0)),(IF(AU4&lt;=($E$32+ROUNDUP(Pieņēmumi!$D$53,0)),IF(Finansējums!AU4&lt;=ROUNDUP(Pieņēmumi!$D$53,0),IF(Finansējums!AU4=ROUNDUP(Pieņēmumi!$D$53,0),AU4-Pieņēmumi!$D$53,0),IF(AU4=($E$32+ROUNDUP(Pieņēmumi!$D$53,0)),(1-(ROUNDUP(Pieņēmumi!$D$53,0)-Pieņēmumi!$D$53)),1)),0)))</f>
        <v>0</v>
      </c>
      <c r="AV28" s="193"/>
      <c r="AW28" s="193"/>
      <c r="AX28" s="193"/>
      <c r="AY28" s="193"/>
      <c r="AZ28" s="193"/>
      <c r="BA28" s="53"/>
      <c r="BB28" s="53"/>
      <c r="BC28" s="53"/>
      <c r="BD28" s="53"/>
      <c r="BE28" s="53"/>
      <c r="BF28" s="53"/>
      <c r="BG28" s="53"/>
      <c r="BH28" s="53"/>
      <c r="BI28" s="53"/>
      <c r="BJ28" s="53"/>
      <c r="BK28" s="53"/>
      <c r="BL28" s="53"/>
      <c r="BM28" s="53"/>
      <c r="BN28" s="53"/>
      <c r="BO28" s="53"/>
      <c r="BP28" s="53"/>
      <c r="BQ28" s="53"/>
      <c r="BR28" s="53"/>
      <c r="BS28" s="53"/>
      <c r="BT28" s="53"/>
      <c r="BU28" s="53"/>
      <c r="BV28" s="53"/>
      <c r="BW28" s="53"/>
      <c r="BX28" s="53"/>
      <c r="BY28" s="53"/>
      <c r="BZ28" s="53"/>
      <c r="CA28" s="53"/>
      <c r="CB28" s="53"/>
      <c r="CC28" s="53"/>
      <c r="CD28" s="53"/>
      <c r="CE28" s="53"/>
      <c r="CF28" s="53"/>
      <c r="CG28" s="53"/>
      <c r="CH28" s="53"/>
      <c r="CI28" s="53"/>
      <c r="CJ28" s="53"/>
      <c r="CK28" s="53"/>
      <c r="CL28" s="53"/>
      <c r="CM28" s="53"/>
      <c r="CN28" s="53"/>
      <c r="CO28" s="53"/>
      <c r="CP28" s="53"/>
      <c r="CQ28" s="53"/>
      <c r="CR28" s="53"/>
      <c r="CS28" s="53"/>
      <c r="CT28" s="53"/>
      <c r="CU28" s="53"/>
      <c r="CV28" s="53"/>
      <c r="CW28" s="53"/>
      <c r="CX28" s="53"/>
      <c r="CY28" s="53"/>
      <c r="CZ28" s="53"/>
      <c r="DA28" s="53"/>
      <c r="DB28" s="53"/>
      <c r="DC28" s="53"/>
      <c r="DD28" s="53"/>
      <c r="DE28" s="53"/>
      <c r="DF28" s="53"/>
      <c r="DG28" s="53"/>
      <c r="DH28" s="53"/>
      <c r="DI28" s="53"/>
      <c r="DJ28" s="53"/>
      <c r="DK28" s="53"/>
      <c r="DL28" s="53"/>
      <c r="DM28" s="53"/>
      <c r="DN28" s="53"/>
      <c r="DO28" s="53"/>
      <c r="DP28" s="53"/>
      <c r="DQ28" s="53"/>
      <c r="DR28" s="53"/>
      <c r="DS28" s="53"/>
      <c r="DT28" s="53"/>
      <c r="DU28" s="53"/>
      <c r="DV28" s="53"/>
      <c r="DW28" s="53"/>
      <c r="DX28" s="53"/>
      <c r="DY28" s="53"/>
      <c r="DZ28" s="53"/>
      <c r="EA28" s="53"/>
      <c r="EB28" s="53"/>
      <c r="EC28" s="53"/>
      <c r="ED28" s="53"/>
      <c r="EE28" s="53"/>
      <c r="EF28" s="53"/>
      <c r="EG28" s="53"/>
      <c r="EH28" s="53"/>
      <c r="EI28" s="53"/>
      <c r="EJ28" s="53"/>
      <c r="EK28" s="53"/>
      <c r="EL28" s="53"/>
      <c r="EM28" s="53"/>
      <c r="EN28" s="53"/>
      <c r="EO28" s="53"/>
      <c r="EP28" s="53"/>
      <c r="EQ28" s="53"/>
      <c r="ER28" s="53"/>
      <c r="ES28" s="53"/>
      <c r="ET28" s="53"/>
      <c r="EU28" s="53"/>
      <c r="EV28" s="53"/>
      <c r="EW28" s="53"/>
      <c r="EX28" s="53"/>
      <c r="EY28" s="53"/>
      <c r="EZ28" s="53"/>
      <c r="FA28" s="53"/>
      <c r="FB28" s="53"/>
      <c r="FC28" s="53"/>
      <c r="FD28" s="53"/>
      <c r="FE28" s="53"/>
      <c r="FF28" s="53"/>
      <c r="FG28" s="53"/>
      <c r="FH28" s="53"/>
      <c r="FI28" s="53"/>
      <c r="FJ28" s="53"/>
      <c r="FK28" s="53"/>
      <c r="FL28" s="53"/>
      <c r="FM28" s="53"/>
      <c r="FN28" s="53"/>
      <c r="FO28" s="53"/>
      <c r="FP28" s="53"/>
      <c r="FQ28" s="53"/>
      <c r="FR28" s="53"/>
      <c r="FS28" s="53"/>
      <c r="FT28" s="53"/>
      <c r="FU28" s="53"/>
      <c r="FV28" s="53"/>
      <c r="FW28" s="53"/>
      <c r="FX28" s="53"/>
      <c r="FY28" s="53"/>
      <c r="FZ28" s="53"/>
      <c r="GA28" s="53"/>
      <c r="GB28" s="53"/>
      <c r="GC28" s="53"/>
      <c r="GD28" s="53"/>
      <c r="GE28" s="53"/>
      <c r="GF28" s="53"/>
      <c r="GG28" s="53"/>
      <c r="GH28" s="53"/>
      <c r="GI28" s="53"/>
      <c r="GJ28" s="53"/>
      <c r="GK28" s="53"/>
      <c r="GL28" s="53"/>
      <c r="GM28" s="53"/>
      <c r="GN28" s="53"/>
      <c r="GO28" s="53"/>
      <c r="GP28" s="53"/>
      <c r="GQ28" s="53"/>
      <c r="GR28" s="53"/>
      <c r="GS28" s="53"/>
      <c r="GT28" s="53"/>
      <c r="GU28" s="53"/>
      <c r="GV28" s="53"/>
      <c r="GW28" s="53"/>
      <c r="GX28" s="53"/>
      <c r="GY28" s="53"/>
      <c r="GZ28" s="53"/>
      <c r="HA28" s="53"/>
      <c r="HB28" s="53"/>
      <c r="HC28" s="53"/>
      <c r="HD28" s="53"/>
    </row>
    <row r="29" spans="1:212" ht="20" customHeight="1" x14ac:dyDescent="0.25">
      <c r="A29" s="120"/>
      <c r="B29" s="128" t="s">
        <v>26</v>
      </c>
      <c r="C29" s="123" t="s">
        <v>5</v>
      </c>
      <c r="D29" s="123"/>
      <c r="E29" s="198">
        <f>E18</f>
        <v>0.68607868648183101</v>
      </c>
      <c r="F29" s="185"/>
      <c r="G29" s="185"/>
      <c r="H29" s="123"/>
      <c r="I29" s="123"/>
      <c r="J29" s="258"/>
      <c r="K29" s="258"/>
      <c r="L29" s="258"/>
      <c r="M29" s="258"/>
      <c r="N29" s="258"/>
      <c r="O29" s="258"/>
      <c r="P29" s="258"/>
      <c r="Q29" s="258"/>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62"/>
      <c r="AQ29" s="46"/>
      <c r="AR29" s="46"/>
      <c r="AS29" s="193"/>
      <c r="AT29" s="46"/>
      <c r="AU29" s="46"/>
      <c r="AV29" s="46"/>
      <c r="AW29" s="46"/>
      <c r="AX29" s="46"/>
      <c r="AY29" s="46"/>
      <c r="AZ29" s="46"/>
      <c r="BA29" s="46"/>
    </row>
    <row r="30" spans="1:212" ht="20" customHeight="1" x14ac:dyDescent="0.25">
      <c r="A30" s="120"/>
      <c r="B30" s="128" t="s">
        <v>27</v>
      </c>
      <c r="C30" s="123" t="s">
        <v>8</v>
      </c>
      <c r="D30" s="123"/>
      <c r="E30" s="246">
        <f>SUM(J36:AO36)</f>
        <v>855563.9040000001</v>
      </c>
      <c r="F30" s="185"/>
      <c r="G30" s="185"/>
      <c r="H30" s="123"/>
      <c r="I30" s="123"/>
      <c r="J30" s="258"/>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262"/>
      <c r="AQ30" s="46"/>
      <c r="AR30" s="46"/>
      <c r="AS30" s="193"/>
      <c r="AT30" s="46"/>
      <c r="AU30" s="46"/>
      <c r="AV30" s="46"/>
      <c r="AW30" s="46"/>
      <c r="AX30" s="46"/>
      <c r="AY30" s="46"/>
      <c r="AZ30" s="46"/>
      <c r="BA30" s="46"/>
    </row>
    <row r="31" spans="1:212" ht="20" customHeight="1" x14ac:dyDescent="0.25">
      <c r="A31" s="120"/>
      <c r="B31" s="128" t="s">
        <v>30</v>
      </c>
      <c r="C31" s="123" t="s">
        <v>5</v>
      </c>
      <c r="D31" s="123"/>
      <c r="E31" s="198">
        <f>Pieņēmumi!D57</f>
        <v>2.7E-2</v>
      </c>
      <c r="F31" s="185"/>
      <c r="G31" s="185"/>
      <c r="H31" s="123"/>
      <c r="I31" s="123"/>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62"/>
      <c r="AQ31" s="46"/>
      <c r="AR31" s="46"/>
      <c r="AS31" s="193"/>
      <c r="AT31" s="46"/>
      <c r="AU31" s="46"/>
      <c r="AV31" s="46"/>
      <c r="AW31" s="46"/>
      <c r="AX31" s="46"/>
      <c r="AY31" s="46"/>
      <c r="AZ31" s="46"/>
      <c r="BA31" s="46"/>
    </row>
    <row r="32" spans="1:212" s="44" customFormat="1" ht="20" customHeight="1" x14ac:dyDescent="0.25">
      <c r="A32" s="177"/>
      <c r="B32" s="178" t="s">
        <v>31</v>
      </c>
      <c r="C32" s="179" t="s">
        <v>13</v>
      </c>
      <c r="D32" s="179"/>
      <c r="E32" s="200">
        <f>Pieņēmumi!D58</f>
        <v>30</v>
      </c>
      <c r="F32" s="188"/>
      <c r="G32" s="188"/>
      <c r="H32" s="179"/>
      <c r="I32" s="179"/>
      <c r="J32" s="190">
        <f>IF(AND(J28&gt;0,$F$33=TRUE),$E$32-SUM(I$28:$J28)-$E$34,IF(J28&gt;0,$E$32-SUM(I$28:$J28),0))</f>
        <v>0</v>
      </c>
      <c r="K32" s="190">
        <f>IF(AND(K28&gt;0,$F$33=TRUE),$E$32-SUM(J$28:$J28)-$E$34,IF(K28&gt;0,$E$32-SUM(J$28:$J28),0))</f>
        <v>0</v>
      </c>
      <c r="L32" s="190">
        <f>IF(AND(L28&gt;0,$F$33=TRUE),$E$32-SUM($J$28:K28)-$E$34,IF(L28&gt;0,$E$32-SUM($J$28:K28),0))</f>
        <v>0</v>
      </c>
      <c r="M32" s="190">
        <f>IF(AND(M28&gt;0,$F$33=TRUE),$E$32-SUM($J$28:L28)-$E$34,IF(M28&gt;0,$E$32-SUM($J$28:L28),0))</f>
        <v>0</v>
      </c>
      <c r="N32" s="190">
        <f>IF(AND(N28&gt;0,$F$33=TRUE),$E$32-SUM($J$28:M28)-$E$34,IF(N28&gt;0,$E$32-SUM($J$28:M28),0))</f>
        <v>0</v>
      </c>
      <c r="O32" s="190">
        <f>IF(AND(O28&gt;0,$F$33=TRUE),$E$32-SUM($J$28:N28)-$E$34,IF(O28&gt;0,$E$32-SUM($J$28:N28),0))</f>
        <v>0</v>
      </c>
      <c r="P32" s="190">
        <f>IF(AND(P28&gt;0,$F$33=TRUE),$E$32-SUM($J$28:O28)-$E$34,IF(P28&gt;0,$E$32-SUM($J$28:O28),0))</f>
        <v>0</v>
      </c>
      <c r="Q32" s="190">
        <f>IF(AND(Q28&gt;0,$F$33=TRUE),$E$32-SUM($J$28:P28)-$E$34,IF(Q28&gt;0,$E$32-SUM($J$28:P28),0))</f>
        <v>0</v>
      </c>
      <c r="R32" s="190">
        <f>IF(AND(R28&gt;0,$F$33=TRUE),$E$32-SUM($J$28:Q28)-$E$34,IF(R28&gt;0,$E$32-SUM($J$28:Q28),0))</f>
        <v>0</v>
      </c>
      <c r="S32" s="190">
        <f>IF(AND(S28&gt;0,$F$33=TRUE),$E$32-SUM($J$28:R28)-$E$34,IF(S28&gt;0,$E$32-SUM($J$28:R28),0))</f>
        <v>0</v>
      </c>
      <c r="T32" s="190">
        <f>IF(AND(T28&gt;0,$F$33=TRUE),$E$32-SUM($J$28:S28)-$E$34,IF(T28&gt;0,$E$32-SUM($J$28:S28),0))</f>
        <v>0</v>
      </c>
      <c r="U32" s="190">
        <f>IF(AND(U28&gt;0,$F$33=TRUE),$E$32-SUM($J$28:T28)-$E$34,IF(U28&gt;0,$E$32-SUM($J$28:T28),0))</f>
        <v>0</v>
      </c>
      <c r="V32" s="190">
        <f>IF(AND(V28&gt;0,$F$33=TRUE),$E$32-SUM($J$28:U28)-$E$34,IF(V28&gt;0,$E$32-SUM($J$28:U28),0))</f>
        <v>20</v>
      </c>
      <c r="W32" s="190">
        <f>IF(AND(W28&gt;0,$F$33=TRUE),$E$32-SUM($J$28:V28)-$E$34,IF(W28&gt;0,$E$32-SUM($J$28:V28),0))</f>
        <v>19</v>
      </c>
      <c r="X32" s="190">
        <f>IF(AND(X28&gt;0,$F$33=TRUE),$E$32-SUM($J$28:W28)-$E$34,IF(X28&gt;0,$E$32-SUM($J$28:W28),0))</f>
        <v>18</v>
      </c>
      <c r="Y32" s="190">
        <f>IF(AND(Y28&gt;0,$F$33=TRUE),$E$32-SUM($J$28:X28)-$E$34,IF(Y28&gt;0,$E$32-SUM($J$28:X28),0))</f>
        <v>17</v>
      </c>
      <c r="Z32" s="190">
        <f>IF(AND(Z28&gt;0,$F$33=TRUE),$E$32-SUM($J$28:Y28)-$E$34,IF(Z28&gt;0,$E$32-SUM($J$28:Y28),0))</f>
        <v>16</v>
      </c>
      <c r="AA32" s="190">
        <f>IF(AND(AA28&gt;0,$F$33=TRUE),$E$32-SUM($J$28:Z28)-$E$34,IF(AA28&gt;0,$E$32-SUM($J$28:Z28),0))</f>
        <v>15</v>
      </c>
      <c r="AB32" s="190">
        <f>IF(AND(AB28&gt;0,$F$33=TRUE),$E$32-SUM($J$28:AA28)-$E$34,IF(AB28&gt;0,$E$32-SUM($J$28:AA28),0))</f>
        <v>14</v>
      </c>
      <c r="AC32" s="190">
        <f>IF(AND(AC28&gt;0,$F$33=TRUE),$E$32-SUM($J$28:AB28)-$E$34,IF(AC28&gt;0,$E$32-SUM($J$28:AB28),0))</f>
        <v>13</v>
      </c>
      <c r="AD32" s="190">
        <f>IF(AND(AD28&gt;0,$F$33=TRUE),$E$32-SUM($J$28:AC28)-$E$34,IF(AD28&gt;0,$E$32-SUM($J$28:AC28),0))</f>
        <v>12</v>
      </c>
      <c r="AE32" s="190">
        <f>IF(AND(AE28&gt;0,$F$33=TRUE),$E$32-SUM($J$28:AD28)-$E$34,IF(AE28&gt;0,$E$32-SUM($J$28:AD28),0))</f>
        <v>11</v>
      </c>
      <c r="AF32" s="190">
        <f>IF(AND(AF28&gt;0,$F$33=TRUE),$E$32-SUM($J$28:AE28)-$E$34,IF(AF28&gt;0,$E$32-SUM($J$28:AE28),0))</f>
        <v>10</v>
      </c>
      <c r="AG32" s="190">
        <f>IF(AND(AG28&gt;0,$F$33=TRUE),$E$32-SUM($J$28:AF28)-$E$34,IF(AG28&gt;0,$E$32-SUM($J$28:AF28),0))</f>
        <v>9</v>
      </c>
      <c r="AH32" s="190">
        <f>IF(AND(AH28&gt;0,$F$33=TRUE),$E$32-SUM($J$28:AG28)-$E$34,IF(AH28&gt;0,$E$32-SUM($J$28:AG28),0))</f>
        <v>8</v>
      </c>
      <c r="AI32" s="190">
        <f>IF(AND(AI28&gt;0,$F$33=TRUE),$E$32-SUM($J$28:AH28)-$E$34,IF(AI28&gt;0,$E$32-SUM($J$28:AH28),0))</f>
        <v>7</v>
      </c>
      <c r="AJ32" s="190">
        <f>IF(AND(AJ28&gt;0,$F$33=TRUE),$E$32-SUM($J$28:AI28)-$E$34,IF(AJ28&gt;0,$E$32-SUM($J$28:AI28),0))</f>
        <v>6</v>
      </c>
      <c r="AK32" s="190">
        <f>IF(AND(AK28&gt;0,$F$33=TRUE),$E$32-SUM($J$28:AJ28)-$E$34,IF(AK28&gt;0,$E$32-SUM($J$28:AJ28),0))</f>
        <v>5</v>
      </c>
      <c r="AL32" s="190">
        <f>IF(AND(AL28&gt;0,$F$33=TRUE),$E$32-SUM($J$28:AK28)-$E$34,IF(AL28&gt;0,$E$32-SUM($J$28:AK28),0))</f>
        <v>4</v>
      </c>
      <c r="AM32" s="190">
        <f>IF(AND(AM28&gt;0,$F$33=TRUE),$E$32-SUM($J$28:AL28)-$E$34,IF(AM28&gt;0,$E$32-SUM($J$28:AL28),0))</f>
        <v>3</v>
      </c>
      <c r="AN32" s="190">
        <f>IF(AND(AN28&gt;0,$F$33=TRUE),$E$32-SUM($J$28:AM28)-$E$34,IF(AN28&gt;0,$E$32-SUM($J$28:AM28),0))</f>
        <v>2</v>
      </c>
      <c r="AO32" s="190">
        <f>IF(AND(AO28&gt;0,$F$33=TRUE),$E$32-SUM($J$28:AN28)-$E$34,IF(AO28&gt;0,$E$32-SUM($J$28:AN28),0))</f>
        <v>1</v>
      </c>
      <c r="AP32" s="190">
        <f>IF(AND(AP28&gt;0,$F$33=TRUE),$E$32-SUM($J$28:AO28)-$E$34,IF(AP28&gt;0,$E$32-SUM($J$28:AO28),0))</f>
        <v>0</v>
      </c>
      <c r="AQ32" s="190">
        <f>IF(AND(AQ28&gt;0,$F$33=TRUE),$E$32-SUM($J$28:AP28)-$E$34,IF(AQ28&gt;0,$E$32-SUM($J$28:AP28),0))</f>
        <v>0</v>
      </c>
      <c r="AR32" s="190">
        <f>IF(AND(AR28&gt;0,$F$33=TRUE),$E$32-SUM($J$28:AQ28)-$E$34,IF(AR28&gt;0,$E$32-SUM($J$28:AQ28),0))</f>
        <v>0</v>
      </c>
      <c r="AS32" s="190">
        <f>IF(AND(AS28&gt;0,$F$33=TRUE),$E$32-SUM($J$28:AR28)-$E$34,IF(AS28&gt;0,$E$32-SUM($J$28:AR28),0))</f>
        <v>0</v>
      </c>
      <c r="AT32" s="190">
        <f>IF(AND(AT28&gt;0,$F$33=TRUE),$E$32-SUM($J$28:AS28)-$E$34,IF(AT28&gt;0,$E$32-SUM($J$28:AS28),0))</f>
        <v>0</v>
      </c>
      <c r="AU32" s="190">
        <f>IF(AND(AU28&gt;0,$F$33=TRUE),$E$32-SUM($J$28:AT28)-$E$34,IF(AU28&gt;0,$E$32-SUM($J$28:AT28),0))</f>
        <v>0</v>
      </c>
      <c r="AV32" s="46"/>
      <c r="AW32" s="46"/>
      <c r="AX32" s="46"/>
      <c r="AY32" s="46"/>
      <c r="AZ32" s="46"/>
      <c r="BA32" s="46"/>
    </row>
    <row r="33" spans="1:212" s="46" customFormat="1" ht="20" customHeight="1" x14ac:dyDescent="0.25">
      <c r="A33" s="113"/>
      <c r="B33" s="131" t="s">
        <v>208</v>
      </c>
      <c r="C33" s="114"/>
      <c r="D33" s="114"/>
      <c r="E33" s="201"/>
      <c r="F33" s="202" t="b">
        <v>1</v>
      </c>
      <c r="G33" s="189"/>
      <c r="H33" s="114"/>
      <c r="I33" s="114"/>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264"/>
      <c r="AP33" s="262"/>
      <c r="AS33" s="193"/>
    </row>
    <row r="34" spans="1:212" s="46" customFormat="1" ht="20" customHeight="1" x14ac:dyDescent="0.25">
      <c r="A34" s="113"/>
      <c r="B34" s="131" t="s">
        <v>67</v>
      </c>
      <c r="C34" s="114" t="s">
        <v>13</v>
      </c>
      <c r="D34" s="114"/>
      <c r="E34" s="201">
        <f>Pieņēmumi!D59</f>
        <v>10</v>
      </c>
      <c r="F34" s="189"/>
      <c r="G34" s="189"/>
      <c r="H34" s="114"/>
      <c r="I34" s="11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62"/>
      <c r="AS34" s="193"/>
    </row>
    <row r="35" spans="1:212" ht="20" customHeight="1" x14ac:dyDescent="0.25">
      <c r="A35" s="120"/>
      <c r="B35" s="180" t="s">
        <v>32</v>
      </c>
      <c r="C35" s="123" t="s">
        <v>8</v>
      </c>
      <c r="D35" s="181"/>
      <c r="E35" s="203"/>
      <c r="F35" s="204"/>
      <c r="G35" s="204"/>
      <c r="H35" s="181"/>
      <c r="I35" s="181"/>
      <c r="J35" s="265">
        <f>I39</f>
        <v>0</v>
      </c>
      <c r="K35" s="265">
        <f>J39</f>
        <v>427781.95200000005</v>
      </c>
      <c r="L35" s="265">
        <f>K39</f>
        <v>855563.9040000001</v>
      </c>
      <c r="M35" s="265">
        <f>L39</f>
        <v>570375.9360000001</v>
      </c>
      <c r="N35" s="265">
        <f t="shared" ref="N35:AN35" si="8">M39</f>
        <v>570375.9360000001</v>
      </c>
      <c r="O35" s="265">
        <f t="shared" si="8"/>
        <v>570375.9360000001</v>
      </c>
      <c r="P35" s="265">
        <f>O39</f>
        <v>570375.9360000001</v>
      </c>
      <c r="Q35" s="265">
        <f t="shared" si="8"/>
        <v>570375.9360000001</v>
      </c>
      <c r="R35" s="265">
        <f t="shared" si="8"/>
        <v>570375.9360000001</v>
      </c>
      <c r="S35" s="265">
        <f t="shared" si="8"/>
        <v>570375.9360000001</v>
      </c>
      <c r="T35" s="265">
        <f t="shared" si="8"/>
        <v>570375.9360000001</v>
      </c>
      <c r="U35" s="265">
        <f t="shared" si="8"/>
        <v>570375.9360000001</v>
      </c>
      <c r="V35" s="265">
        <f t="shared" si="8"/>
        <v>570375.9360000001</v>
      </c>
      <c r="W35" s="265">
        <f t="shared" si="8"/>
        <v>541857.13920000009</v>
      </c>
      <c r="X35" s="265">
        <f t="shared" si="8"/>
        <v>513338.34240000008</v>
      </c>
      <c r="Y35" s="265">
        <f t="shared" si="8"/>
        <v>484819.54560000007</v>
      </c>
      <c r="Z35" s="265">
        <f t="shared" si="8"/>
        <v>456300.74880000006</v>
      </c>
      <c r="AA35" s="265">
        <f t="shared" si="8"/>
        <v>427781.95200000005</v>
      </c>
      <c r="AB35" s="265">
        <f t="shared" si="8"/>
        <v>399263.15520000004</v>
      </c>
      <c r="AC35" s="265">
        <f t="shared" si="8"/>
        <v>370744.35840000003</v>
      </c>
      <c r="AD35" s="265">
        <f t="shared" si="8"/>
        <v>342225.56160000002</v>
      </c>
      <c r="AE35" s="265">
        <f t="shared" si="8"/>
        <v>313706.7648</v>
      </c>
      <c r="AF35" s="265">
        <f t="shared" si="8"/>
        <v>285187.96799999999</v>
      </c>
      <c r="AG35" s="265">
        <f t="shared" si="8"/>
        <v>256669.17119999998</v>
      </c>
      <c r="AH35" s="265">
        <f t="shared" si="8"/>
        <v>228150.37439999997</v>
      </c>
      <c r="AI35" s="265">
        <f t="shared" si="8"/>
        <v>199631.57759999996</v>
      </c>
      <c r="AJ35" s="265">
        <f t="shared" si="8"/>
        <v>171112.78079999998</v>
      </c>
      <c r="AK35" s="265">
        <f t="shared" si="8"/>
        <v>142593.984</v>
      </c>
      <c r="AL35" s="265">
        <f t="shared" si="8"/>
        <v>114075.1872</v>
      </c>
      <c r="AM35" s="265">
        <f t="shared" si="8"/>
        <v>85556.390400000004</v>
      </c>
      <c r="AN35" s="265">
        <f t="shared" si="8"/>
        <v>57037.593600000007</v>
      </c>
      <c r="AO35" s="265">
        <f>AN39</f>
        <v>28518.796800000004</v>
      </c>
      <c r="AP35" s="265">
        <f t="shared" ref="AP35:AR35" si="9">AO39</f>
        <v>0</v>
      </c>
      <c r="AQ35" s="265">
        <f t="shared" si="9"/>
        <v>0</v>
      </c>
      <c r="AR35" s="265">
        <f t="shared" si="9"/>
        <v>0</v>
      </c>
      <c r="AS35" s="265">
        <f t="shared" ref="AS35" si="10">AR39</f>
        <v>0</v>
      </c>
      <c r="AT35" s="265">
        <f t="shared" ref="AT35" si="11">AS39</f>
        <v>0</v>
      </c>
      <c r="AU35" s="265">
        <f t="shared" ref="AU35" si="12">AT39</f>
        <v>0</v>
      </c>
      <c r="AV35" s="46"/>
      <c r="AW35" s="46"/>
      <c r="AX35" s="46"/>
      <c r="AY35" s="46"/>
      <c r="AZ35" s="46"/>
      <c r="BA35" s="46"/>
    </row>
    <row r="36" spans="1:212" s="43" customFormat="1" ht="20" customHeight="1" x14ac:dyDescent="0.25">
      <c r="A36" s="126"/>
      <c r="B36" s="156" t="s">
        <v>33</v>
      </c>
      <c r="C36" s="123" t="s">
        <v>8</v>
      </c>
      <c r="D36" s="126"/>
      <c r="E36" s="199"/>
      <c r="F36" s="187"/>
      <c r="G36" s="187"/>
      <c r="H36" s="126"/>
      <c r="I36" s="126"/>
      <c r="J36" s="258">
        <f>J18</f>
        <v>427781.95200000005</v>
      </c>
      <c r="K36" s="258">
        <f>K18</f>
        <v>427781.95200000005</v>
      </c>
      <c r="L36" s="258">
        <f>L18</f>
        <v>0</v>
      </c>
      <c r="M36" s="258">
        <f t="shared" ref="M36:Q36" si="13">M18</f>
        <v>0</v>
      </c>
      <c r="N36" s="258">
        <f t="shared" si="13"/>
        <v>0</v>
      </c>
      <c r="O36" s="258">
        <f t="shared" si="13"/>
        <v>0</v>
      </c>
      <c r="P36" s="258">
        <f t="shared" si="13"/>
        <v>0</v>
      </c>
      <c r="Q36" s="258">
        <f t="shared" si="13"/>
        <v>0</v>
      </c>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62"/>
      <c r="AQ36" s="53"/>
      <c r="AR36" s="53"/>
      <c r="AS36" s="193"/>
      <c r="AT36" s="53"/>
      <c r="AU36" s="53"/>
      <c r="AV36" s="53"/>
      <c r="AW36" s="53"/>
      <c r="AX36" s="53"/>
      <c r="AY36" s="53"/>
      <c r="AZ36" s="53"/>
      <c r="BA36" s="53"/>
    </row>
    <row r="37" spans="1:212" s="52" customFormat="1" ht="20" customHeight="1" x14ac:dyDescent="0.25">
      <c r="A37" s="182"/>
      <c r="B37" s="176" t="s">
        <v>34</v>
      </c>
      <c r="C37" s="123" t="s">
        <v>8</v>
      </c>
      <c r="D37" s="182"/>
      <c r="E37" s="199"/>
      <c r="F37" s="190"/>
      <c r="G37" s="190"/>
      <c r="H37" s="182"/>
      <c r="I37" s="182"/>
      <c r="J37" s="263">
        <f>(IF(J32=0,0,-(J35/J32))*J28)</f>
        <v>0</v>
      </c>
      <c r="K37" s="263">
        <f>(IF(K32=0,0,-(K35/K32))*K28)</f>
        <v>0</v>
      </c>
      <c r="L37" s="263">
        <f>(IF(L32=0,0,(-(L35/L32)*L28)))</f>
        <v>0</v>
      </c>
      <c r="M37" s="263">
        <f t="shared" ref="M37:AN37" si="14">(IF(M32=0,0,(-(M35/M32)*M28)))</f>
        <v>0</v>
      </c>
      <c r="N37" s="263">
        <f t="shared" si="14"/>
        <v>0</v>
      </c>
      <c r="O37" s="263">
        <f t="shared" si="14"/>
        <v>0</v>
      </c>
      <c r="P37" s="263">
        <f t="shared" si="14"/>
        <v>0</v>
      </c>
      <c r="Q37" s="263">
        <f t="shared" si="14"/>
        <v>0</v>
      </c>
      <c r="R37" s="263">
        <f t="shared" si="14"/>
        <v>0</v>
      </c>
      <c r="S37" s="263">
        <f t="shared" si="14"/>
        <v>0</v>
      </c>
      <c r="T37" s="263">
        <f t="shared" si="14"/>
        <v>0</v>
      </c>
      <c r="U37" s="263">
        <f t="shared" si="14"/>
        <v>0</v>
      </c>
      <c r="V37" s="263">
        <f>(IF(V32=0,0,(-(V35/V32)*V28)))</f>
        <v>-28518.796800000004</v>
      </c>
      <c r="W37" s="263">
        <f t="shared" si="14"/>
        <v>-28518.796800000004</v>
      </c>
      <c r="X37" s="263">
        <f t="shared" si="14"/>
        <v>-28518.796800000004</v>
      </c>
      <c r="Y37" s="263">
        <f t="shared" si="14"/>
        <v>-28518.796800000004</v>
      </c>
      <c r="Z37" s="263">
        <f t="shared" si="14"/>
        <v>-28518.796800000004</v>
      </c>
      <c r="AA37" s="263">
        <f t="shared" si="14"/>
        <v>-28518.796800000004</v>
      </c>
      <c r="AB37" s="263">
        <f t="shared" si="14"/>
        <v>-28518.796800000004</v>
      </c>
      <c r="AC37" s="263">
        <f t="shared" si="14"/>
        <v>-28518.796800000004</v>
      </c>
      <c r="AD37" s="263">
        <f t="shared" si="14"/>
        <v>-28518.7968</v>
      </c>
      <c r="AE37" s="263">
        <f t="shared" si="14"/>
        <v>-28518.7968</v>
      </c>
      <c r="AF37" s="263">
        <f t="shared" si="14"/>
        <v>-28518.7968</v>
      </c>
      <c r="AG37" s="263">
        <f t="shared" si="14"/>
        <v>-28518.796799999996</v>
      </c>
      <c r="AH37" s="263">
        <f t="shared" si="14"/>
        <v>-28518.796799999996</v>
      </c>
      <c r="AI37" s="263">
        <f t="shared" si="14"/>
        <v>-28518.796799999993</v>
      </c>
      <c r="AJ37" s="263">
        <f t="shared" si="14"/>
        <v>-28518.796799999996</v>
      </c>
      <c r="AK37" s="263">
        <f t="shared" si="14"/>
        <v>-28518.7968</v>
      </c>
      <c r="AL37" s="263">
        <f t="shared" si="14"/>
        <v>-28518.7968</v>
      </c>
      <c r="AM37" s="263">
        <f t="shared" si="14"/>
        <v>-28518.7968</v>
      </c>
      <c r="AN37" s="263">
        <f t="shared" si="14"/>
        <v>-28518.796800000004</v>
      </c>
      <c r="AO37" s="263">
        <f>(IF(AO32=0,0,(-(AO35/AO32)*AO28)))</f>
        <v>-28518.796800000004</v>
      </c>
      <c r="AP37" s="263">
        <f t="shared" ref="AP37:AU37" si="15">(IF(AP32=0,0,(-(AP35/AP32)*AP28)))</f>
        <v>0</v>
      </c>
      <c r="AQ37" s="263">
        <f t="shared" si="15"/>
        <v>0</v>
      </c>
      <c r="AR37" s="263">
        <f t="shared" si="15"/>
        <v>0</v>
      </c>
      <c r="AS37" s="263">
        <f t="shared" si="15"/>
        <v>0</v>
      </c>
      <c r="AT37" s="263">
        <f t="shared" si="15"/>
        <v>0</v>
      </c>
      <c r="AU37" s="263">
        <f t="shared" si="15"/>
        <v>0</v>
      </c>
      <c r="AV37" s="53"/>
      <c r="AW37" s="53"/>
      <c r="AX37" s="53"/>
      <c r="AY37" s="53"/>
      <c r="AZ37" s="53"/>
      <c r="BA37" s="53"/>
    </row>
    <row r="38" spans="1:212" s="43" customFormat="1" ht="20" customHeight="1" x14ac:dyDescent="0.25">
      <c r="A38" s="126"/>
      <c r="B38" s="176" t="s">
        <v>24</v>
      </c>
      <c r="C38" s="123" t="s">
        <v>8</v>
      </c>
      <c r="D38" s="126"/>
      <c r="E38" s="199"/>
      <c r="F38" s="187"/>
      <c r="G38" s="187"/>
      <c r="H38" s="126"/>
      <c r="I38" s="126"/>
      <c r="J38" s="263">
        <f>IF(J4=(ROUNDUP((Pieņēmumi!$D$53-0.5),0)+1),-(IF('Pamatkapitāla ieguldījumi'!$E$38&gt;='Pamatkapitāla ieguldījumi'!$E$40,Pieņēmumi!$D$79*'Pamatkapitāla ieguldījumi'!$E$40,Pieņēmumi!$D$79*'Pamatkapitāla ieguldījumi'!$E$38)),0)</f>
        <v>0</v>
      </c>
      <c r="K38" s="263">
        <f>IF(K4=(ROUNDUP((Pieņēmumi!$D$53-0.5),0)+1),-(IF('Pamatkapitāla ieguldījumi'!$E$38&gt;='Pamatkapitāla ieguldījumi'!$E$40,Pieņēmumi!$D$79*'Pamatkapitāla ieguldījumi'!$E$40,Pieņēmumi!$D$79*'Pamatkapitāla ieguldījumi'!$E$38)),0)</f>
        <v>0</v>
      </c>
      <c r="L38" s="263">
        <f>IF(L4=(ROUNDUP((Pieņēmumi!$D$53-0.5),0)+1),-(IF('Pamatkapitāla ieguldījumi'!$E$38&gt;='Pamatkapitāla ieguldījumi'!$E$40,Pieņēmumi!$D$79*'Pamatkapitāla ieguldījumi'!$E$40,Pieņēmumi!$D$79*'Pamatkapitāla ieguldījumi'!$E$38)),0)</f>
        <v>-285187.96799999999</v>
      </c>
      <c r="M38" s="263">
        <f>IF(M4=(ROUNDUP((Pieņēmumi!$D$53-0.5),0)+1),-(IF('Pamatkapitāla ieguldījumi'!$E$38&gt;='Pamatkapitāla ieguldījumi'!$E$40,Pieņēmumi!$D$79*'Pamatkapitāla ieguldījumi'!$E$40,Pieņēmumi!$D$79*'Pamatkapitāla ieguldījumi'!$E$38)),0)</f>
        <v>0</v>
      </c>
      <c r="N38" s="263">
        <f>IF(N4=(ROUNDUP((Pieņēmumi!$D$53-0.5),0)+1),-(IF('Pamatkapitāla ieguldījumi'!$E$38&gt;='Pamatkapitāla ieguldījumi'!$E$40,Pieņēmumi!$D$79*'Pamatkapitāla ieguldījumi'!$E$40,Pieņēmumi!$D$79*'Pamatkapitāla ieguldījumi'!$E$38)),0)</f>
        <v>0</v>
      </c>
      <c r="O38" s="263">
        <f>IF(O4=(ROUNDUP((Pieņēmumi!$D$53-0.5),0)+1),-(IF('Pamatkapitāla ieguldījumi'!$E$38&gt;='Pamatkapitāla ieguldījumi'!$E$40,Pieņēmumi!$D$79*'Pamatkapitāla ieguldījumi'!$E$40,Pieņēmumi!$D$79*'Pamatkapitāla ieguldījumi'!$E$38)),0)</f>
        <v>0</v>
      </c>
      <c r="P38" s="263">
        <f>IF(P4=(ROUNDUP((Pieņēmumi!$D$53-0.5),0)+1),-(IF('Pamatkapitāla ieguldījumi'!$E$38&gt;='Pamatkapitāla ieguldījumi'!$E$40,Pieņēmumi!$D$79*'Pamatkapitāla ieguldījumi'!$E$40,Pieņēmumi!$D$79*'Pamatkapitāla ieguldījumi'!$E$38)),0)</f>
        <v>0</v>
      </c>
      <c r="Q38" s="263">
        <f>IF(Q4=(ROUNDUP((Pieņēmumi!$D$53-0.5),0)+1),-(IF('Pamatkapitāla ieguldījumi'!$E$38&gt;='Pamatkapitāla ieguldījumi'!$E$40,Pieņēmumi!$D$79*'Pamatkapitāla ieguldījumi'!$E$40,Pieņēmumi!$D$79*'Pamatkapitāla ieguldījumi'!$E$38)),0)</f>
        <v>0</v>
      </c>
      <c r="R38" s="263">
        <f>IF(R4=(ROUNDUP((Pieņēmumi!$D$53-0.5),0)+1),-(IF('Pamatkapitāla ieguldījumi'!$E$38&gt;='Pamatkapitāla ieguldījumi'!$E$40,Pieņēmumi!$D$79*'Pamatkapitāla ieguldījumi'!$E$40,Pieņēmumi!$D$79*'Pamatkapitāla ieguldījumi'!$E$38)),0)</f>
        <v>0</v>
      </c>
      <c r="S38" s="263">
        <f>IF(S4=(ROUNDUP((Pieņēmumi!$D$53-0.5),0)+1),-(IF('Pamatkapitāla ieguldījumi'!$E$38&gt;='Pamatkapitāla ieguldījumi'!$E$40,Pieņēmumi!$D$79*'Pamatkapitāla ieguldījumi'!$E$40,Pieņēmumi!$D$79*'Pamatkapitāla ieguldījumi'!$E$38)),0)</f>
        <v>0</v>
      </c>
      <c r="T38" s="263">
        <f>IF(T4=(ROUNDUP((Pieņēmumi!$D$53-0.5),0)+1),-(IF('Pamatkapitāla ieguldījumi'!$E$38&gt;='Pamatkapitāla ieguldījumi'!$E$40,Pieņēmumi!$D$79*'Pamatkapitāla ieguldījumi'!$E$40,Pieņēmumi!$D$79*'Pamatkapitāla ieguldījumi'!$E$38)),0)</f>
        <v>0</v>
      </c>
      <c r="U38" s="263">
        <f>IF(U4=(ROUNDUP((Pieņēmumi!$D$53-0.5),0)+1),-(IF('Pamatkapitāla ieguldījumi'!$E$38&gt;='Pamatkapitāla ieguldījumi'!$E$40,Pieņēmumi!$D$79*'Pamatkapitāla ieguldījumi'!$E$40,Pieņēmumi!$D$79*'Pamatkapitāla ieguldījumi'!$E$38)),0)</f>
        <v>0</v>
      </c>
      <c r="V38" s="263">
        <f>IF(V4=(ROUNDUP((Pieņēmumi!$D$53-0.5),0)+1),-(IF('Pamatkapitāla ieguldījumi'!$E$38&gt;='Pamatkapitāla ieguldījumi'!$E$40,Pieņēmumi!$D$79*'Pamatkapitāla ieguldījumi'!$E$40,Pieņēmumi!$D$79*'Pamatkapitāla ieguldījumi'!$E$38)),0)</f>
        <v>0</v>
      </c>
      <c r="W38" s="263">
        <f>IF(W4=(ROUNDUP((Pieņēmumi!$D$53-0.5),0)+1),-(IF('Pamatkapitāla ieguldījumi'!$E$38&gt;='Pamatkapitāla ieguldījumi'!$E$40,Pieņēmumi!$D$79*'Pamatkapitāla ieguldījumi'!$E$40,Pieņēmumi!$D$79*'Pamatkapitāla ieguldījumi'!$E$38)),0)</f>
        <v>0</v>
      </c>
      <c r="X38" s="263">
        <f>IF(X4=(ROUNDUP((Pieņēmumi!$D$53-0.5),0)+1),-(IF('Pamatkapitāla ieguldījumi'!$E$38&gt;='Pamatkapitāla ieguldījumi'!$E$40,Pieņēmumi!$D$79*'Pamatkapitāla ieguldījumi'!$E$40,Pieņēmumi!$D$79*'Pamatkapitāla ieguldījumi'!$E$38)),0)</f>
        <v>0</v>
      </c>
      <c r="Y38" s="263">
        <f>IF(Y4=(ROUNDUP((Pieņēmumi!$D$53-0.5),0)+1),-(IF('Pamatkapitāla ieguldījumi'!$E$38&gt;='Pamatkapitāla ieguldījumi'!$E$40,Pieņēmumi!$D$79*'Pamatkapitāla ieguldījumi'!$E$40,Pieņēmumi!$D$79*'Pamatkapitāla ieguldījumi'!$E$38)),0)</f>
        <v>0</v>
      </c>
      <c r="Z38" s="263">
        <f>IF(Z4=(ROUNDUP((Pieņēmumi!$D$53-0.5),0)+1),-(IF('Pamatkapitāla ieguldījumi'!$E$38&gt;='Pamatkapitāla ieguldījumi'!$E$40,Pieņēmumi!$D$79*'Pamatkapitāla ieguldījumi'!$E$40,Pieņēmumi!$D$79*'Pamatkapitāla ieguldījumi'!$E$38)),0)</f>
        <v>0</v>
      </c>
      <c r="AA38" s="263">
        <f>IF(AA4=(ROUNDUP((Pieņēmumi!$D$53-0.5),0)+1),-(IF('Pamatkapitāla ieguldījumi'!$E$38&gt;='Pamatkapitāla ieguldījumi'!$E$40,Pieņēmumi!$D$79*'Pamatkapitāla ieguldījumi'!$E$40,Pieņēmumi!$D$79*'Pamatkapitāla ieguldījumi'!$E$38)),0)</f>
        <v>0</v>
      </c>
      <c r="AB38" s="263">
        <f>IF(AB4=(ROUNDUP((Pieņēmumi!$D$53-0.5),0)+1),-(IF('Pamatkapitāla ieguldījumi'!$E$38&gt;='Pamatkapitāla ieguldījumi'!$E$40,Pieņēmumi!$D$79*'Pamatkapitāla ieguldījumi'!$E$40,Pieņēmumi!$D$79*'Pamatkapitāla ieguldījumi'!$E$38)),0)</f>
        <v>0</v>
      </c>
      <c r="AC38" s="263">
        <f>IF(AC4=(ROUNDUP((Pieņēmumi!$D$53-0.5),0)+1),-(IF('Pamatkapitāla ieguldījumi'!$E$38&gt;='Pamatkapitāla ieguldījumi'!$E$40,Pieņēmumi!$D$79*'Pamatkapitāla ieguldījumi'!$E$40,Pieņēmumi!$D$79*'Pamatkapitāla ieguldījumi'!$E$38)),0)</f>
        <v>0</v>
      </c>
      <c r="AD38" s="263">
        <f>IF(AD4=(ROUNDUP((Pieņēmumi!$D$53-0.5),0)+1),-(IF('Pamatkapitāla ieguldījumi'!$E$38&gt;='Pamatkapitāla ieguldījumi'!$E$40,Pieņēmumi!$D$79*'Pamatkapitāla ieguldījumi'!$E$40,Pieņēmumi!$D$79*'Pamatkapitāla ieguldījumi'!$E$38)),0)</f>
        <v>0</v>
      </c>
      <c r="AE38" s="263">
        <f>IF(AE4=(ROUNDUP((Pieņēmumi!$D$53-0.5),0)+1),-(IF('Pamatkapitāla ieguldījumi'!$E$38&gt;='Pamatkapitāla ieguldījumi'!$E$40,Pieņēmumi!$D$79*'Pamatkapitāla ieguldījumi'!$E$40,Pieņēmumi!$D$79*'Pamatkapitāla ieguldījumi'!$E$38)),0)</f>
        <v>0</v>
      </c>
      <c r="AF38" s="263">
        <f>IF(AF4=(ROUNDUP((Pieņēmumi!$D$53-0.5),0)+1),-(IF('Pamatkapitāla ieguldījumi'!$E$38&gt;='Pamatkapitāla ieguldījumi'!$E$40,Pieņēmumi!$D$79*'Pamatkapitāla ieguldījumi'!$E$40,Pieņēmumi!$D$79*'Pamatkapitāla ieguldījumi'!$E$38)),0)</f>
        <v>0</v>
      </c>
      <c r="AG38" s="263">
        <f>IF(AG4=(ROUNDUP((Pieņēmumi!$D$53-0.5),0)+1),-(IF('Pamatkapitāla ieguldījumi'!$E$38&gt;='Pamatkapitāla ieguldījumi'!$E$40,Pieņēmumi!$D$79*'Pamatkapitāla ieguldījumi'!$E$40,Pieņēmumi!$D$79*'Pamatkapitāla ieguldījumi'!$E$38)),0)</f>
        <v>0</v>
      </c>
      <c r="AH38" s="263">
        <f>IF(AH4=(ROUNDUP((Pieņēmumi!$D$53-0.5),0)+1),-(IF('Pamatkapitāla ieguldījumi'!$E$38&gt;='Pamatkapitāla ieguldījumi'!$E$40,Pieņēmumi!$D$79*'Pamatkapitāla ieguldījumi'!$E$40,Pieņēmumi!$D$79*'Pamatkapitāla ieguldījumi'!$E$38)),0)</f>
        <v>0</v>
      </c>
      <c r="AI38" s="263">
        <f>IF(AI4=(ROUNDUP((Pieņēmumi!$D$53-0.5),0)+1),-(IF('Pamatkapitāla ieguldījumi'!$E$38&gt;='Pamatkapitāla ieguldījumi'!$E$40,Pieņēmumi!$D$79*'Pamatkapitāla ieguldījumi'!$E$40,Pieņēmumi!$D$79*'Pamatkapitāla ieguldījumi'!$E$38)),0)</f>
        <v>0</v>
      </c>
      <c r="AJ38" s="263">
        <f>IF(AJ4=(ROUNDUP((Pieņēmumi!$D$53-0.5),0)+1),-(IF('Pamatkapitāla ieguldījumi'!$E$38&gt;='Pamatkapitāla ieguldījumi'!$E$40,Pieņēmumi!$D$79*'Pamatkapitāla ieguldījumi'!$E$40,Pieņēmumi!$D$79*'Pamatkapitāla ieguldījumi'!$E$38)),0)</f>
        <v>0</v>
      </c>
      <c r="AK38" s="263">
        <f>IF(AK4=(ROUNDUP((Pieņēmumi!$D$53-0.5),0)+1),-(IF('Pamatkapitāla ieguldījumi'!$E$38&gt;='Pamatkapitāla ieguldījumi'!$E$40,Pieņēmumi!$D$79*'Pamatkapitāla ieguldījumi'!$E$40,Pieņēmumi!$D$79*'Pamatkapitāla ieguldījumi'!$E$38)),0)</f>
        <v>0</v>
      </c>
      <c r="AL38" s="263">
        <f>IF(AL4=(ROUNDUP((Pieņēmumi!$D$53-0.5),0)+1),-(IF('Pamatkapitāla ieguldījumi'!$E$38&gt;='Pamatkapitāla ieguldījumi'!$E$40,Pieņēmumi!$D$79*'Pamatkapitāla ieguldījumi'!$E$40,Pieņēmumi!$D$79*'Pamatkapitāla ieguldījumi'!$E$38)),0)</f>
        <v>0</v>
      </c>
      <c r="AM38" s="263">
        <f>IF(AM4=(ROUNDUP((Pieņēmumi!$D$53-0.5),0)+1),-(IF('Pamatkapitāla ieguldījumi'!$E$38&gt;='Pamatkapitāla ieguldījumi'!$E$40,Pieņēmumi!$D$79*'Pamatkapitāla ieguldījumi'!$E$40,Pieņēmumi!$D$79*'Pamatkapitāla ieguldījumi'!$E$38)),0)</f>
        <v>0</v>
      </c>
      <c r="AN38" s="263">
        <f>IF(AN4=(ROUNDUP((Pieņēmumi!$D$53-0.5),0)+1),-(IF('Pamatkapitāla ieguldījumi'!$E$38&gt;='Pamatkapitāla ieguldījumi'!$E$40,Pieņēmumi!$D$79*'Pamatkapitāla ieguldījumi'!$E$40,Pieņēmumi!$D$79*'Pamatkapitāla ieguldījumi'!$E$38)),0)</f>
        <v>0</v>
      </c>
      <c r="AO38" s="263">
        <f>IF(AO4=(ROUNDUP((Pieņēmumi!$D$53-0.5),0)+1),-(IF('Pamatkapitāla ieguldījumi'!$E$38&gt;='Pamatkapitāla ieguldījumi'!$E$40,Pieņēmumi!$D$79*'Pamatkapitāla ieguldījumi'!$E$40,Pieņēmumi!$D$79*'Pamatkapitāla ieguldījumi'!$E$38)),0)</f>
        <v>0</v>
      </c>
      <c r="AP38" s="263">
        <f>IF(AP4=(ROUNDUP((Pieņēmumi!$D$53-0.5),0)+1),-(IF('Pamatkapitāla ieguldījumi'!$E$38&gt;='Pamatkapitāla ieguldījumi'!$E$40,Pieņēmumi!$D$79*'Pamatkapitāla ieguldījumi'!$E$40,Pieņēmumi!$D$79*'Pamatkapitāla ieguldījumi'!$E$38)),0)</f>
        <v>0</v>
      </c>
      <c r="AQ38" s="263">
        <f>IF(AQ4=(ROUNDUP((Pieņēmumi!$D$53-0.5),0)+1),-(IF('Pamatkapitāla ieguldījumi'!$E$38&gt;='Pamatkapitāla ieguldījumi'!$E$40,Pieņēmumi!$D$79*'Pamatkapitāla ieguldījumi'!$E$40,Pieņēmumi!$D$79*'Pamatkapitāla ieguldījumi'!$E$38)),0)</f>
        <v>0</v>
      </c>
      <c r="AR38" s="263">
        <f>IF(AR4=(ROUNDUP((Pieņēmumi!$D$53-0.5),0)+1),-(IF('Pamatkapitāla ieguldījumi'!$E$38&gt;='Pamatkapitāla ieguldījumi'!$E$40,Pieņēmumi!$D$79*'Pamatkapitāla ieguldījumi'!$E$40,Pieņēmumi!$D$79*'Pamatkapitāla ieguldījumi'!$E$38)),0)</f>
        <v>0</v>
      </c>
      <c r="AS38" s="263">
        <f>IF(AS4=(ROUNDUP((Pieņēmumi!$D$53-0.5),0)+1),-(IF('Pamatkapitāla ieguldījumi'!$E$38&gt;='Pamatkapitāla ieguldījumi'!$E$40,Pieņēmumi!$D$79*'Pamatkapitāla ieguldījumi'!$E$40,Pieņēmumi!$D$79*'Pamatkapitāla ieguldījumi'!$E$38)),0)</f>
        <v>0</v>
      </c>
      <c r="AT38" s="263">
        <f>IF(AT4=(ROUNDUP((Pieņēmumi!$D$53-0.5),0)+1),-(IF('Pamatkapitāla ieguldījumi'!$E$38&gt;='Pamatkapitāla ieguldījumi'!$E$40,Pieņēmumi!$D$79*'Pamatkapitāla ieguldījumi'!$E$40,Pieņēmumi!$D$79*'Pamatkapitāla ieguldījumi'!$E$38)),0)</f>
        <v>0</v>
      </c>
      <c r="AU38" s="263">
        <f>IF(AU4=(ROUNDUP((Pieņēmumi!$D$53-0.5),0)+1),-(IF('Pamatkapitāla ieguldījumi'!$E$38&gt;='Pamatkapitāla ieguldījumi'!$E$40,Pieņēmumi!$D$79*'Pamatkapitāla ieguldījumi'!$E$40,Pieņēmumi!$D$79*'Pamatkapitāla ieguldījumi'!$E$38)),0)</f>
        <v>0</v>
      </c>
      <c r="AV38" s="53"/>
      <c r="AW38" s="53"/>
      <c r="AX38" s="53"/>
      <c r="AY38" s="53"/>
      <c r="AZ38" s="53"/>
      <c r="BA38" s="53"/>
    </row>
    <row r="39" spans="1:212" ht="20" customHeight="1" x14ac:dyDescent="0.25">
      <c r="A39" s="120"/>
      <c r="B39" s="180" t="s">
        <v>35</v>
      </c>
      <c r="C39" s="123" t="s">
        <v>8</v>
      </c>
      <c r="D39" s="181"/>
      <c r="E39" s="203"/>
      <c r="F39" s="204"/>
      <c r="G39" s="204"/>
      <c r="H39" s="181"/>
      <c r="I39" s="181"/>
      <c r="J39" s="265">
        <f>SUM(J35:J38)</f>
        <v>427781.95200000005</v>
      </c>
      <c r="K39" s="265">
        <f>SUM(K35:K38)</f>
        <v>855563.9040000001</v>
      </c>
      <c r="L39" s="265">
        <f t="shared" ref="L39:AM39" si="16">SUM(L35:L38)</f>
        <v>570375.9360000001</v>
      </c>
      <c r="M39" s="265">
        <f t="shared" si="16"/>
        <v>570375.9360000001</v>
      </c>
      <c r="N39" s="265">
        <f t="shared" si="16"/>
        <v>570375.9360000001</v>
      </c>
      <c r="O39" s="265">
        <f t="shared" si="16"/>
        <v>570375.9360000001</v>
      </c>
      <c r="P39" s="265">
        <f t="shared" si="16"/>
        <v>570375.9360000001</v>
      </c>
      <c r="Q39" s="265">
        <f t="shared" si="16"/>
        <v>570375.9360000001</v>
      </c>
      <c r="R39" s="265">
        <f t="shared" si="16"/>
        <v>570375.9360000001</v>
      </c>
      <c r="S39" s="265">
        <f t="shared" si="16"/>
        <v>570375.9360000001</v>
      </c>
      <c r="T39" s="265">
        <f t="shared" si="16"/>
        <v>570375.9360000001</v>
      </c>
      <c r="U39" s="265">
        <f t="shared" si="16"/>
        <v>570375.9360000001</v>
      </c>
      <c r="V39" s="265">
        <f t="shared" si="16"/>
        <v>541857.13920000009</v>
      </c>
      <c r="W39" s="265">
        <f t="shared" si="16"/>
        <v>513338.34240000008</v>
      </c>
      <c r="X39" s="265">
        <f t="shared" si="16"/>
        <v>484819.54560000007</v>
      </c>
      <c r="Y39" s="265">
        <f t="shared" si="16"/>
        <v>456300.74880000006</v>
      </c>
      <c r="Z39" s="265">
        <f t="shared" si="16"/>
        <v>427781.95200000005</v>
      </c>
      <c r="AA39" s="265">
        <f t="shared" si="16"/>
        <v>399263.15520000004</v>
      </c>
      <c r="AB39" s="265">
        <f t="shared" si="16"/>
        <v>370744.35840000003</v>
      </c>
      <c r="AC39" s="265">
        <f t="shared" si="16"/>
        <v>342225.56160000002</v>
      </c>
      <c r="AD39" s="265">
        <f t="shared" si="16"/>
        <v>313706.7648</v>
      </c>
      <c r="AE39" s="265">
        <f t="shared" si="16"/>
        <v>285187.96799999999</v>
      </c>
      <c r="AF39" s="265">
        <f t="shared" si="16"/>
        <v>256669.17119999998</v>
      </c>
      <c r="AG39" s="265">
        <f t="shared" si="16"/>
        <v>228150.37439999997</v>
      </c>
      <c r="AH39" s="265">
        <f t="shared" si="16"/>
        <v>199631.57759999996</v>
      </c>
      <c r="AI39" s="265">
        <f t="shared" si="16"/>
        <v>171112.78079999998</v>
      </c>
      <c r="AJ39" s="265">
        <f t="shared" si="16"/>
        <v>142593.984</v>
      </c>
      <c r="AK39" s="265">
        <f t="shared" si="16"/>
        <v>114075.1872</v>
      </c>
      <c r="AL39" s="265">
        <f t="shared" si="16"/>
        <v>85556.390400000004</v>
      </c>
      <c r="AM39" s="265">
        <f t="shared" si="16"/>
        <v>57037.593600000007</v>
      </c>
      <c r="AN39" s="265">
        <f>SUM(AN35:AN38)</f>
        <v>28518.796800000004</v>
      </c>
      <c r="AO39" s="265">
        <f>SUM(AO35:AO38)</f>
        <v>0</v>
      </c>
      <c r="AP39" s="265">
        <f t="shared" ref="AP39:AU39" si="17">SUM(AP35:AP38)</f>
        <v>0</v>
      </c>
      <c r="AQ39" s="265">
        <f t="shared" si="17"/>
        <v>0</v>
      </c>
      <c r="AR39" s="265">
        <f t="shared" si="17"/>
        <v>0</v>
      </c>
      <c r="AS39" s="265">
        <f t="shared" si="17"/>
        <v>0</v>
      </c>
      <c r="AT39" s="265">
        <f t="shared" si="17"/>
        <v>0</v>
      </c>
      <c r="AU39" s="265">
        <f t="shared" si="17"/>
        <v>0</v>
      </c>
      <c r="AV39" s="46"/>
      <c r="AW39" s="46"/>
      <c r="AX39" s="46"/>
      <c r="AY39" s="46"/>
      <c r="AZ39" s="46"/>
      <c r="BA39" s="46"/>
    </row>
    <row r="40" spans="1:212" s="58" customFormat="1" ht="20" customHeight="1" x14ac:dyDescent="0.25">
      <c r="A40" s="183"/>
      <c r="B40" s="184" t="s">
        <v>11</v>
      </c>
      <c r="C40" s="123" t="s">
        <v>8</v>
      </c>
      <c r="D40" s="127"/>
      <c r="E40" s="205"/>
      <c r="F40" s="191"/>
      <c r="G40" s="191"/>
      <c r="H40" s="127"/>
      <c r="I40" s="127"/>
      <c r="J40" s="258">
        <f>-AVERAGE(J35,J39)*$E$31</f>
        <v>-5775.0563520000005</v>
      </c>
      <c r="K40" s="258">
        <f t="shared" ref="K40:AU40" si="18">-AVERAGE(K35,K39)*$E$31</f>
        <v>-17325.169056000002</v>
      </c>
      <c r="L40" s="258">
        <f t="shared" si="18"/>
        <v>-19250.187840000002</v>
      </c>
      <c r="M40" s="258">
        <f t="shared" si="18"/>
        <v>-15400.150272000003</v>
      </c>
      <c r="N40" s="258">
        <f t="shared" si="18"/>
        <v>-15400.150272000003</v>
      </c>
      <c r="O40" s="258">
        <f t="shared" si="18"/>
        <v>-15400.150272000003</v>
      </c>
      <c r="P40" s="258">
        <f t="shared" si="18"/>
        <v>-15400.150272000003</v>
      </c>
      <c r="Q40" s="258">
        <f t="shared" si="18"/>
        <v>-15400.150272000003</v>
      </c>
      <c r="R40" s="258">
        <f t="shared" si="18"/>
        <v>-15400.150272000003</v>
      </c>
      <c r="S40" s="258">
        <f t="shared" si="18"/>
        <v>-15400.150272000003</v>
      </c>
      <c r="T40" s="258">
        <f t="shared" si="18"/>
        <v>-15400.150272000003</v>
      </c>
      <c r="U40" s="258">
        <f t="shared" si="18"/>
        <v>-15400.150272000003</v>
      </c>
      <c r="V40" s="258">
        <f t="shared" si="18"/>
        <v>-15015.146515200004</v>
      </c>
      <c r="W40" s="258">
        <f t="shared" si="18"/>
        <v>-14245.1390016</v>
      </c>
      <c r="X40" s="258">
        <f t="shared" si="18"/>
        <v>-13475.131488000003</v>
      </c>
      <c r="Y40" s="258">
        <f t="shared" si="18"/>
        <v>-12705.123974400001</v>
      </c>
      <c r="Z40" s="258">
        <f t="shared" si="18"/>
        <v>-11935.116460800002</v>
      </c>
      <c r="AA40" s="258">
        <f t="shared" si="18"/>
        <v>-11165.1089472</v>
      </c>
      <c r="AB40" s="258">
        <f t="shared" si="18"/>
        <v>-10395.101433600001</v>
      </c>
      <c r="AC40" s="258">
        <f t="shared" si="18"/>
        <v>-9625.0939200000012</v>
      </c>
      <c r="AD40" s="258">
        <f t="shared" si="18"/>
        <v>-8855.0864063999998</v>
      </c>
      <c r="AE40" s="258">
        <f t="shared" si="18"/>
        <v>-8085.0788928000002</v>
      </c>
      <c r="AF40" s="258">
        <f t="shared" si="18"/>
        <v>-7315.0713791999997</v>
      </c>
      <c r="AG40" s="258">
        <f t="shared" si="18"/>
        <v>-6545.0638655999992</v>
      </c>
      <c r="AH40" s="258">
        <f t="shared" si="18"/>
        <v>-5775.0563519999987</v>
      </c>
      <c r="AI40" s="258">
        <f t="shared" si="18"/>
        <v>-5005.0488383999991</v>
      </c>
      <c r="AJ40" s="258">
        <f t="shared" si="18"/>
        <v>-4235.0413248000004</v>
      </c>
      <c r="AK40" s="258">
        <f t="shared" si="18"/>
        <v>-3465.0338111999999</v>
      </c>
      <c r="AL40" s="258">
        <f t="shared" si="18"/>
        <v>-2695.0262976000004</v>
      </c>
      <c r="AM40" s="258">
        <f t="shared" si="18"/>
        <v>-1925.0187839999999</v>
      </c>
      <c r="AN40" s="258">
        <f t="shared" si="18"/>
        <v>-1155.0112704000001</v>
      </c>
      <c r="AO40" s="258">
        <f t="shared" si="18"/>
        <v>-385.00375680000002</v>
      </c>
      <c r="AP40" s="258">
        <f t="shared" si="18"/>
        <v>0</v>
      </c>
      <c r="AQ40" s="258">
        <f t="shared" si="18"/>
        <v>0</v>
      </c>
      <c r="AR40" s="258">
        <f t="shared" si="18"/>
        <v>0</v>
      </c>
      <c r="AS40" s="258">
        <f t="shared" si="18"/>
        <v>0</v>
      </c>
      <c r="AT40" s="258">
        <f t="shared" si="18"/>
        <v>0</v>
      </c>
      <c r="AU40" s="258">
        <f t="shared" si="18"/>
        <v>0</v>
      </c>
      <c r="AV40" s="194"/>
      <c r="AW40" s="194"/>
      <c r="AX40" s="194"/>
      <c r="AY40" s="194"/>
      <c r="AZ40" s="194"/>
      <c r="BA40" s="194"/>
    </row>
    <row r="41" spans="1:212" s="58" customFormat="1" ht="20" customHeight="1" x14ac:dyDescent="0.25">
      <c r="A41" s="183"/>
      <c r="B41" s="184"/>
      <c r="C41" s="123"/>
      <c r="D41" s="127"/>
      <c r="E41" s="205"/>
      <c r="F41" s="191"/>
      <c r="G41" s="191"/>
      <c r="H41" s="127"/>
      <c r="I41" s="127"/>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194"/>
      <c r="AW41" s="194"/>
      <c r="AX41" s="194"/>
      <c r="AY41" s="194"/>
      <c r="AZ41" s="194"/>
      <c r="BA41" s="194"/>
    </row>
    <row r="42" spans="1:212" s="57" customFormat="1" ht="20" customHeight="1" x14ac:dyDescent="0.25">
      <c r="A42" s="53"/>
      <c r="B42" s="154" t="s">
        <v>259</v>
      </c>
      <c r="C42" s="155"/>
      <c r="D42" s="155"/>
      <c r="E42" s="155"/>
      <c r="F42" s="155"/>
      <c r="G42" s="155"/>
      <c r="H42" s="155"/>
      <c r="I42" s="155"/>
      <c r="J42" s="283">
        <f>IF($F$47=TRUE,(IF(J4&lt;=(ROUNDUP(Pieņēmumi!$D$53,0)+$E$46),(IF(J4&lt;=ROUNDUP(Pieņēmumi!$D$53,0)+$E$48,IF(ROUNDUP(Pieņēmumi!$D$53,0)+$E$48=Finansējums!J4,(Finansējums!J4-Pieņēmumi!$D$53-$E$48),0),IF(J4=($E$46+ROUNDUP(Pieņēmumi!$D$53,0)),(1-(ROUNDUP(Pieņēmumi!$D$53,0)-Pieņēmumi!$D$53)),1))),0)),(IF(J4&lt;=($E$46+ROUNDUP(Pieņēmumi!$D$53,0)),IF(Finansējums!J4&lt;=ROUNDUP(Pieņēmumi!$D$53,0),IF(Finansējums!J4=ROUNDUP(Pieņēmumi!$D$53,0),J4-Pieņēmumi!$D$53,0),IF(J4=($E$46+ROUNDUP(Pieņēmumi!$D$53,0)),(1-(ROUNDUP(Pieņēmumi!$D$53,0)-Pieņēmumi!$D$53)),1)),0)))</f>
        <v>0</v>
      </c>
      <c r="K42" s="283">
        <f>IF($F$47=TRUE,(IF(K4&lt;=(ROUNDUP(Pieņēmumi!$D$53,0)+$E$46),(IF(K4&lt;=ROUNDUP(Pieņēmumi!$D$53,0)+$E$48,IF(ROUNDUP(Pieņēmumi!$D$53,0)+$E$48=Finansējums!K4,(Finansējums!K4-Pieņēmumi!$D$53-$E$48),0),IF(K4=($E$46+ROUNDUP(Pieņēmumi!$D$53,0)),(1-(ROUNDUP(Pieņēmumi!$D$53,0)-Pieņēmumi!$D$53)),1))),0)),(IF(K4&lt;=($E$46+ROUNDUP(Pieņēmumi!$D$53,0)),IF(Finansējums!K4&lt;=ROUNDUP(Pieņēmumi!$D$53,0),IF(Finansējums!K4=ROUNDUP(Pieņēmumi!$D$53,0),K4-Pieņēmumi!$D$53,0),IF(K4=($E$46+ROUNDUP(Pieņēmumi!$D$53,0)),(1-(ROUNDUP(Pieņēmumi!$D$53,0)-Pieņēmumi!$D$53)),1)),0)))</f>
        <v>0</v>
      </c>
      <c r="L42" s="283">
        <f>IF($F$47=TRUE,(IF(L4&lt;=(ROUNDUP(Pieņēmumi!$D$53,0)+$E$46),(IF(L4&lt;=ROUNDUP(Pieņēmumi!$D$53,0)+$E$48,IF(ROUNDUP(Pieņēmumi!$D$53,0)+$E$48=Finansējums!L4,(Finansējums!L4-Pieņēmumi!$D$53-$E$48),0),IF(L4=($E$46+ROUNDUP(Pieņēmumi!$D$53,0)),(1-(ROUNDUP(Pieņēmumi!$D$53,0)-Pieņēmumi!$D$53)),1))),0)),(IF(L4&lt;=($E$46+ROUNDUP(Pieņēmumi!$D$53,0)),IF(Finansējums!L4&lt;=ROUNDUP(Pieņēmumi!$D$53,0),IF(Finansējums!L4=ROUNDUP(Pieņēmumi!$D$53,0),L4-Pieņēmumi!$D$53,0),IF(L4=($E$46+ROUNDUP(Pieņēmumi!$D$53,0)),(1-(ROUNDUP(Pieņēmumi!$D$53,0)-Pieņēmumi!$D$53)),1)),0)))</f>
        <v>0</v>
      </c>
      <c r="M42" s="283">
        <f>IF($F$47=TRUE,(IF(M4&lt;=(ROUNDUP(Pieņēmumi!$D$53,0)+$E$46),(IF(M4&lt;=ROUNDUP(Pieņēmumi!$D$53,0)+$E$48,IF(ROUNDUP(Pieņēmumi!$D$53,0)+$E$48=Finansējums!M4,(Finansējums!M4-Pieņēmumi!$D$53-$E$48),0),IF(M4=($E$46+ROUNDUP(Pieņēmumi!$D$53,0)),(1-(ROUNDUP(Pieņēmumi!$D$53,0)-Pieņēmumi!$D$53)),1))),0)),(IF(M4&lt;=($E$46+ROUNDUP(Pieņēmumi!$D$53,0)),IF(Finansējums!M4&lt;=ROUNDUP(Pieņēmumi!$D$53,0),IF(Finansējums!M4=ROUNDUP(Pieņēmumi!$D$53,0),M4-Pieņēmumi!$D$53,0),IF(M4=($E$46+ROUNDUP(Pieņēmumi!$D$53,0)),(1-(ROUNDUP(Pieņēmumi!$D$53,0)-Pieņēmumi!$D$53)),1)),0)))</f>
        <v>0</v>
      </c>
      <c r="N42" s="283">
        <f>IF($F$47=TRUE,(IF(N4&lt;=(ROUNDUP(Pieņēmumi!$D$53,0)+$E$46),(IF(N4&lt;=ROUNDUP(Pieņēmumi!$D$53,0)+$E$48,IF(ROUNDUP(Pieņēmumi!$D$53,0)+$E$48=Finansējums!N4,(Finansējums!N4-Pieņēmumi!$D$53-$E$48),0),IF(N4=($E$46+ROUNDUP(Pieņēmumi!$D$53,0)),(1-(ROUNDUP(Pieņēmumi!$D$53,0)-Pieņēmumi!$D$53)),1))),0)),(IF(N4&lt;=($E$46+ROUNDUP(Pieņēmumi!$D$53,0)),IF(Finansējums!N4&lt;=ROUNDUP(Pieņēmumi!$D$53,0),IF(Finansējums!N4=ROUNDUP(Pieņēmumi!$D$53,0),N4-Pieņēmumi!$D$53,0),IF(N4=($E$46+ROUNDUP(Pieņēmumi!$D$53,0)),(1-(ROUNDUP(Pieņēmumi!$D$53,0)-Pieņēmumi!$D$53)),1)),0)))</f>
        <v>0</v>
      </c>
      <c r="O42" s="283">
        <f>IF($F$47=TRUE,(IF(O4&lt;=(ROUNDUP(Pieņēmumi!$D$53,0)+$E$46),(IF(O4&lt;=ROUNDUP(Pieņēmumi!$D$53,0)+$E$48,IF(ROUNDUP(Pieņēmumi!$D$53,0)+$E$48=Finansējums!O4,(Finansējums!O4-Pieņēmumi!$D$53-$E$48),0),IF(O4=($E$46+ROUNDUP(Pieņēmumi!$D$53,0)),(1-(ROUNDUP(Pieņēmumi!$D$53,0)-Pieņēmumi!$D$53)),1))),0)),(IF(O4&lt;=($E$46+ROUNDUP(Pieņēmumi!$D$53,0)),IF(Finansējums!O4&lt;=ROUNDUP(Pieņēmumi!$D$53,0),IF(Finansējums!O4=ROUNDUP(Pieņēmumi!$D$53,0),O4-Pieņēmumi!$D$53,0),IF(O4=($E$46+ROUNDUP(Pieņēmumi!$D$53,0)),(1-(ROUNDUP(Pieņēmumi!$D$53,0)-Pieņēmumi!$D$53)),1)),0)))</f>
        <v>0</v>
      </c>
      <c r="P42" s="283">
        <f>IF($F$47=TRUE,(IF(P4&lt;=(ROUNDUP(Pieņēmumi!$D$53,0)+$E$46),(IF(P4&lt;=ROUNDUP(Pieņēmumi!$D$53,0)+$E$48,IF(ROUNDUP(Pieņēmumi!$D$53,0)+$E$48=Finansējums!P4,(Finansējums!P4-Pieņēmumi!$D$53-$E$48),0),IF(P4=($E$46+ROUNDUP(Pieņēmumi!$D$53,0)),(1-(ROUNDUP(Pieņēmumi!$D$53,0)-Pieņēmumi!$D$53)),1))),0)),(IF(P4&lt;=($E$46+ROUNDUP(Pieņēmumi!$D$53,0)),IF(Finansējums!P4&lt;=ROUNDUP(Pieņēmumi!$D$53,0),IF(Finansējums!P4=ROUNDUP(Pieņēmumi!$D$53,0),P4-Pieņēmumi!$D$53,0),IF(P4=($E$46+ROUNDUP(Pieņēmumi!$D$53,0)),(1-(ROUNDUP(Pieņēmumi!$D$53,0)-Pieņēmumi!$D$53)),1)),0)))</f>
        <v>0</v>
      </c>
      <c r="Q42" s="283">
        <f>IF($F$47=TRUE,(IF(Q4&lt;=(ROUNDUP(Pieņēmumi!$D$53,0)+$E$46),(IF(Q4&lt;=ROUNDUP(Pieņēmumi!$D$53,0)+$E$48,IF(ROUNDUP(Pieņēmumi!$D$53,0)+$E$48=Finansējums!Q4,(Finansējums!Q4-Pieņēmumi!$D$53-$E$48),0),IF(Q4=($E$46+ROUNDUP(Pieņēmumi!$D$53,0)),(1-(ROUNDUP(Pieņēmumi!$D$53,0)-Pieņēmumi!$D$53)),1))),0)),(IF(Q4&lt;=($E$46+ROUNDUP(Pieņēmumi!$D$53,0)),IF(Finansējums!Q4&lt;=ROUNDUP(Pieņēmumi!$D$53,0),IF(Finansējums!Q4=ROUNDUP(Pieņēmumi!$D$53,0),Q4-Pieņēmumi!$D$53,0),IF(Q4=($E$46+ROUNDUP(Pieņēmumi!$D$53,0)),(1-(ROUNDUP(Pieņēmumi!$D$53,0)-Pieņēmumi!$D$53)),1)),0)))</f>
        <v>0</v>
      </c>
      <c r="R42" s="283">
        <f>IF($F$47=TRUE,(IF(R4&lt;=(ROUNDUP(Pieņēmumi!$D$53,0)+$E$46),(IF(R4&lt;=ROUNDUP(Pieņēmumi!$D$53,0)+$E$48,IF(ROUNDUP(Pieņēmumi!$D$53,0)+$E$48=Finansējums!R4,(Finansējums!R4-Pieņēmumi!$D$53-$E$48),0),IF(R4=($E$46+ROUNDUP(Pieņēmumi!$D$53,0)),(1-(ROUNDUP(Pieņēmumi!$D$53,0)-Pieņēmumi!$D$53)),1))),0)),(IF(R4&lt;=($E$46+ROUNDUP(Pieņēmumi!$D$53,0)),IF(Finansējums!R4&lt;=ROUNDUP(Pieņēmumi!$D$53,0),IF(Finansējums!R4=ROUNDUP(Pieņēmumi!$D$53,0),R4-Pieņēmumi!$D$53,0),IF(R4=($E$46+ROUNDUP(Pieņēmumi!$D$53,0)),(1-(ROUNDUP(Pieņēmumi!$D$53,0)-Pieņēmumi!$D$53)),1)),0)))</f>
        <v>0</v>
      </c>
      <c r="S42" s="283">
        <f>IF($F$47=TRUE,(IF(S4&lt;=(ROUNDUP(Pieņēmumi!$D$53,0)+$E$46),(IF(S4&lt;=ROUNDUP(Pieņēmumi!$D$53,0)+$E$48,IF(ROUNDUP(Pieņēmumi!$D$53,0)+$E$48=Finansējums!S4,(Finansējums!S4-Pieņēmumi!$D$53-$E$48),0),IF(S4=($E$46+ROUNDUP(Pieņēmumi!$D$53,0)),(1-(ROUNDUP(Pieņēmumi!$D$53,0)-Pieņēmumi!$D$53)),1))),0)),(IF(S4&lt;=($E$46+ROUNDUP(Pieņēmumi!$D$53,0)),IF(Finansējums!S4&lt;=ROUNDUP(Pieņēmumi!$D$53,0),IF(Finansējums!S4=ROUNDUP(Pieņēmumi!$D$53,0),S4-Pieņēmumi!$D$53,0),IF(S4=($E$46+ROUNDUP(Pieņēmumi!$D$53,0)),(1-(ROUNDUP(Pieņēmumi!$D$53,0)-Pieņēmumi!$D$53)),1)),0)))</f>
        <v>0</v>
      </c>
      <c r="T42" s="283">
        <f>IF($F$47=TRUE,(IF(T4&lt;=(ROUNDUP(Pieņēmumi!$D$53,0)+$E$46),(IF(T4&lt;=ROUNDUP(Pieņēmumi!$D$53,0)+$E$48,IF(ROUNDUP(Pieņēmumi!$D$53,0)+$E$48=Finansējums!T4,(Finansējums!T4-Pieņēmumi!$D$53-$E$48),0),IF(T4=($E$46+ROUNDUP(Pieņēmumi!$D$53,0)),(1-(ROUNDUP(Pieņēmumi!$D$53,0)-Pieņēmumi!$D$53)),1))),0)),(IF(T4&lt;=($E$46+ROUNDUP(Pieņēmumi!$D$53,0)),IF(Finansējums!T4&lt;=ROUNDUP(Pieņēmumi!$D$53,0),IF(Finansējums!T4=ROUNDUP(Pieņēmumi!$D$53,0),T4-Pieņēmumi!$D$53,0),IF(T4=($E$46+ROUNDUP(Pieņēmumi!$D$53,0)),(1-(ROUNDUP(Pieņēmumi!$D$53,0)-Pieņēmumi!$D$53)),1)),0)))</f>
        <v>0</v>
      </c>
      <c r="U42" s="283">
        <f>IF($F$47=TRUE,(IF(U4&lt;=(ROUNDUP(Pieņēmumi!$D$53,0)+$E$46),(IF(U4&lt;=ROUNDUP(Pieņēmumi!$D$53,0)+$E$48,IF(ROUNDUP(Pieņēmumi!$D$53,0)+$E$48=Finansējums!U4,(Finansējums!U4-Pieņēmumi!$D$53-$E$48),0),IF(U4=($E$46+ROUNDUP(Pieņēmumi!$D$53,0)),(1-(ROUNDUP(Pieņēmumi!$D$53,0)-Pieņēmumi!$D$53)),1))),0)),(IF(U4&lt;=($E$46+ROUNDUP(Pieņēmumi!$D$53,0)),IF(Finansējums!U4&lt;=ROUNDUP(Pieņēmumi!$D$53,0),IF(Finansējums!U4=ROUNDUP(Pieņēmumi!$D$53,0),U4-Pieņēmumi!$D$53,0),IF(U4=($E$46+ROUNDUP(Pieņēmumi!$D$53,0)),(1-(ROUNDUP(Pieņēmumi!$D$53,0)-Pieņēmumi!$D$53)),1)),0)))</f>
        <v>0</v>
      </c>
      <c r="V42" s="283">
        <f>IF($F$47=TRUE,(IF(V4&lt;=(ROUNDUP(Pieņēmumi!$D$53,0)+$E$46),(IF(V4&lt;=ROUNDUP(Pieņēmumi!$D$53,0)+$E$48,IF(ROUNDUP(Pieņēmumi!$D$53,0)+$E$48=Finansējums!V4,(Finansējums!V4-Pieņēmumi!$D$53-$E$48),0),IF(V4=($E$46+ROUNDUP(Pieņēmumi!$D$53,0)),(1-(ROUNDUP(Pieņēmumi!$D$53,0)-Pieņēmumi!$D$53)),1))),0)),(IF(V4&lt;=($E$46+ROUNDUP(Pieņēmumi!$D$53,0)),IF(Finansējums!V4&lt;=ROUNDUP(Pieņēmumi!$D$53,0),IF(Finansējums!V4=ROUNDUP(Pieņēmumi!$D$53,0),V4-Pieņēmumi!$D$53,0),IF(V4=($E$46+ROUNDUP(Pieņēmumi!$D$53,0)),(1-(ROUNDUP(Pieņēmumi!$D$53,0)-Pieņēmumi!$D$53)),1)),0)))</f>
        <v>1</v>
      </c>
      <c r="W42" s="283">
        <f>IF($F$47=TRUE,(IF(W4&lt;=(ROUNDUP(Pieņēmumi!$D$53,0)+$E$46),(IF(W4&lt;=ROUNDUP(Pieņēmumi!$D$53,0)+$E$48,IF(ROUNDUP(Pieņēmumi!$D$53,0)+$E$48=Finansējums!W4,(Finansējums!W4-Pieņēmumi!$D$53-$E$48),0),IF(W4=($E$46+ROUNDUP(Pieņēmumi!$D$53,0)),(1-(ROUNDUP(Pieņēmumi!$D$53,0)-Pieņēmumi!$D$53)),1))),0)),(IF(W4&lt;=($E$46+ROUNDUP(Pieņēmumi!$D$53,0)),IF(Finansējums!W4&lt;=ROUNDUP(Pieņēmumi!$D$53,0),IF(Finansējums!W4=ROUNDUP(Pieņēmumi!$D$53,0),W4-Pieņēmumi!$D$53,0),IF(W4=($E$46+ROUNDUP(Pieņēmumi!$D$53,0)),(1-(ROUNDUP(Pieņēmumi!$D$53,0)-Pieņēmumi!$D$53)),1)),0)))</f>
        <v>1</v>
      </c>
      <c r="X42" s="283">
        <f>IF($F$47=TRUE,(IF(X4&lt;=(ROUNDUP(Pieņēmumi!$D$53,0)+$E$46),(IF(X4&lt;=ROUNDUP(Pieņēmumi!$D$53,0)+$E$48,IF(ROUNDUP(Pieņēmumi!$D$53,0)+$E$48=Finansējums!X4,(Finansējums!X4-Pieņēmumi!$D$53-$E$48),0),IF(X4=($E$46+ROUNDUP(Pieņēmumi!$D$53,0)),(1-(ROUNDUP(Pieņēmumi!$D$53,0)-Pieņēmumi!$D$53)),1))),0)),(IF(X4&lt;=($E$46+ROUNDUP(Pieņēmumi!$D$53,0)),IF(Finansējums!X4&lt;=ROUNDUP(Pieņēmumi!$D$53,0),IF(Finansējums!X4=ROUNDUP(Pieņēmumi!$D$53,0),X4-Pieņēmumi!$D$53,0),IF(X4=($E$46+ROUNDUP(Pieņēmumi!$D$53,0)),(1-(ROUNDUP(Pieņēmumi!$D$53,0)-Pieņēmumi!$D$53)),1)),0)))</f>
        <v>1</v>
      </c>
      <c r="Y42" s="283">
        <f>IF($F$47=TRUE,(IF(Y4&lt;=(ROUNDUP(Pieņēmumi!$D$53,0)+$E$46),(IF(Y4&lt;=ROUNDUP(Pieņēmumi!$D$53,0)+$E$48,IF(ROUNDUP(Pieņēmumi!$D$53,0)+$E$48=Finansējums!Y4,(Finansējums!Y4-Pieņēmumi!$D$53-$E$48),0),IF(Y4=($E$46+ROUNDUP(Pieņēmumi!$D$53,0)),(1-(ROUNDUP(Pieņēmumi!$D$53,0)-Pieņēmumi!$D$53)),1))),0)),(IF(Y4&lt;=($E$46+ROUNDUP(Pieņēmumi!$D$53,0)),IF(Finansējums!Y4&lt;=ROUNDUP(Pieņēmumi!$D$53,0),IF(Finansējums!Y4=ROUNDUP(Pieņēmumi!$D$53,0),Y4-Pieņēmumi!$D$53,0),IF(Y4=($E$46+ROUNDUP(Pieņēmumi!$D$53,0)),(1-(ROUNDUP(Pieņēmumi!$D$53,0)-Pieņēmumi!$D$53)),1)),0)))</f>
        <v>1</v>
      </c>
      <c r="Z42" s="283">
        <f>IF($F$47=TRUE,(IF(Z4&lt;=(ROUNDUP(Pieņēmumi!$D$53,0)+$E$46),(IF(Z4&lt;=ROUNDUP(Pieņēmumi!$D$53,0)+$E$48,IF(ROUNDUP(Pieņēmumi!$D$53,0)+$E$48=Finansējums!Z4,(Finansējums!Z4-Pieņēmumi!$D$53-$E$48),0),IF(Z4=($E$46+ROUNDUP(Pieņēmumi!$D$53,0)),(1-(ROUNDUP(Pieņēmumi!$D$53,0)-Pieņēmumi!$D$53)),1))),0)),(IF(Z4&lt;=($E$46+ROUNDUP(Pieņēmumi!$D$53,0)),IF(Finansējums!Z4&lt;=ROUNDUP(Pieņēmumi!$D$53,0),IF(Finansējums!Z4=ROUNDUP(Pieņēmumi!$D$53,0),Z4-Pieņēmumi!$D$53,0),IF(Z4=($E$46+ROUNDUP(Pieņēmumi!$D$53,0)),(1-(ROUNDUP(Pieņēmumi!$D$53,0)-Pieņēmumi!$D$53)),1)),0)))</f>
        <v>1</v>
      </c>
      <c r="AA42" s="283">
        <f>IF($F$47=TRUE,(IF(AA4&lt;=(ROUNDUP(Pieņēmumi!$D$53,0)+$E$46),(IF(AA4&lt;=ROUNDUP(Pieņēmumi!$D$53,0)+$E$48,IF(ROUNDUP(Pieņēmumi!$D$53,0)+$E$48=Finansējums!AA4,(Finansējums!AA4-Pieņēmumi!$D$53-$E$48),0),IF(AA4=($E$46+ROUNDUP(Pieņēmumi!$D$53,0)),(1-(ROUNDUP(Pieņēmumi!$D$53,0)-Pieņēmumi!$D$53)),1))),0)),(IF(AA4&lt;=($E$46+ROUNDUP(Pieņēmumi!$D$53,0)),IF(Finansējums!AA4&lt;=ROUNDUP(Pieņēmumi!$D$53,0),IF(Finansējums!AA4=ROUNDUP(Pieņēmumi!$D$53,0),AA4-Pieņēmumi!$D$53,0),IF(AA4=($E$46+ROUNDUP(Pieņēmumi!$D$53,0)),(1-(ROUNDUP(Pieņēmumi!$D$53,0)-Pieņēmumi!$D$53)),1)),0)))</f>
        <v>0</v>
      </c>
      <c r="AB42" s="283">
        <f>IF($F$47=TRUE,(IF(AB4&lt;=(ROUNDUP(Pieņēmumi!$D$53,0)+$E$46),(IF(AB4&lt;=ROUNDUP(Pieņēmumi!$D$53,0)+$E$48,IF(ROUNDUP(Pieņēmumi!$D$53,0)+$E$48=Finansējums!AB4,(Finansējums!AB4-Pieņēmumi!$D$53-$E$48),0),IF(AB4=($E$46+ROUNDUP(Pieņēmumi!$D$53,0)),(1-(ROUNDUP(Pieņēmumi!$D$53,0)-Pieņēmumi!$D$53)),1))),0)),(IF(AB4&lt;=($E$46+ROUNDUP(Pieņēmumi!$D$53,0)),IF(Finansējums!AB4&lt;=ROUNDUP(Pieņēmumi!$D$53,0),IF(Finansējums!AB4=ROUNDUP(Pieņēmumi!$D$53,0),AB4-Pieņēmumi!$D$53,0),IF(AB4=($E$46+ROUNDUP(Pieņēmumi!$D$53,0)),(1-(ROUNDUP(Pieņēmumi!$D$53,0)-Pieņēmumi!$D$53)),1)),0)))</f>
        <v>0</v>
      </c>
      <c r="AC42" s="283">
        <f>IF($F$47=TRUE,(IF(AC4&lt;=(ROUNDUP(Pieņēmumi!$D$53,0)+$E$46),(IF(AC4&lt;=ROUNDUP(Pieņēmumi!$D$53,0)+$E$48,IF(ROUNDUP(Pieņēmumi!$D$53,0)+$E$48=Finansējums!AC4,(Finansējums!AC4-Pieņēmumi!$D$53-$E$48),0),IF(AC4=($E$46+ROUNDUP(Pieņēmumi!$D$53,0)),(1-(ROUNDUP(Pieņēmumi!$D$53,0)-Pieņēmumi!$D$53)),1))),0)),(IF(AC4&lt;=($E$46+ROUNDUP(Pieņēmumi!$D$53,0)),IF(Finansējums!AC4&lt;=ROUNDUP(Pieņēmumi!$D$53,0),IF(Finansējums!AC4=ROUNDUP(Pieņēmumi!$D$53,0),AC4-Pieņēmumi!$D$53,0),IF(AC4=($E$46+ROUNDUP(Pieņēmumi!$D$53,0)),(1-(ROUNDUP(Pieņēmumi!$D$53,0)-Pieņēmumi!$D$53)),1)),0)))</f>
        <v>0</v>
      </c>
      <c r="AD42" s="283">
        <f>IF($F$47=TRUE,(IF(AD4&lt;=(ROUNDUP(Pieņēmumi!$D$53,0)+$E$46),(IF(AD4&lt;=ROUNDUP(Pieņēmumi!$D$53,0)+$E$48,IF(ROUNDUP(Pieņēmumi!$D$53,0)+$E$48=Finansējums!AD4,(Finansējums!AD4-Pieņēmumi!$D$53-$E$48),0),IF(AD4=($E$46+ROUNDUP(Pieņēmumi!$D$53,0)),(1-(ROUNDUP(Pieņēmumi!$D$53,0)-Pieņēmumi!$D$53)),1))),0)),(IF(AD4&lt;=($E$46+ROUNDUP(Pieņēmumi!$D$53,0)),IF(Finansējums!AD4&lt;=ROUNDUP(Pieņēmumi!$D$53,0),IF(Finansējums!AD4=ROUNDUP(Pieņēmumi!$D$53,0),AD4-Pieņēmumi!$D$53,0),IF(AD4=($E$46+ROUNDUP(Pieņēmumi!$D$53,0)),(1-(ROUNDUP(Pieņēmumi!$D$53,0)-Pieņēmumi!$D$53)),1)),0)))</f>
        <v>0</v>
      </c>
      <c r="AE42" s="283">
        <f>IF($F$47=TRUE,(IF(AE4&lt;=(ROUNDUP(Pieņēmumi!$D$53,0)+$E$46),(IF(AE4&lt;=ROUNDUP(Pieņēmumi!$D$53,0)+$E$48,IF(ROUNDUP(Pieņēmumi!$D$53,0)+$E$48=Finansējums!AE4,(Finansējums!AE4-Pieņēmumi!$D$53-$E$48),0),IF(AE4=($E$46+ROUNDUP(Pieņēmumi!$D$53,0)),(1-(ROUNDUP(Pieņēmumi!$D$53,0)-Pieņēmumi!$D$53)),1))),0)),(IF(AE4&lt;=($E$46+ROUNDUP(Pieņēmumi!$D$53,0)),IF(Finansējums!AE4&lt;=ROUNDUP(Pieņēmumi!$D$53,0),IF(Finansējums!AE4=ROUNDUP(Pieņēmumi!$D$53,0),AE4-Pieņēmumi!$D$53,0),IF(AE4=($E$46+ROUNDUP(Pieņēmumi!$D$53,0)),(1-(ROUNDUP(Pieņēmumi!$D$53,0)-Pieņēmumi!$D$53)),1)),0)))</f>
        <v>0</v>
      </c>
      <c r="AF42" s="283">
        <f>IF($F$47=TRUE,(IF(AF4&lt;=(ROUNDUP(Pieņēmumi!$D$53,0)+$E$46),(IF(AF4&lt;=ROUNDUP(Pieņēmumi!$D$53,0)+$E$48,IF(ROUNDUP(Pieņēmumi!$D$53,0)+$E$48=Finansējums!AF4,(Finansējums!AF4-Pieņēmumi!$D$53-$E$48),0),IF(AF4=($E$46+ROUNDUP(Pieņēmumi!$D$53,0)),(1-(ROUNDUP(Pieņēmumi!$D$53,0)-Pieņēmumi!$D$53)),1))),0)),(IF(AF4&lt;=($E$46+ROUNDUP(Pieņēmumi!$D$53,0)),IF(Finansējums!AF4&lt;=ROUNDUP(Pieņēmumi!$D$53,0),IF(Finansējums!AF4=ROUNDUP(Pieņēmumi!$D$53,0),AF4-Pieņēmumi!$D$53,0),IF(AF4=($E$46+ROUNDUP(Pieņēmumi!$D$53,0)),(1-(ROUNDUP(Pieņēmumi!$D$53,0)-Pieņēmumi!$D$53)),1)),0)))</f>
        <v>0</v>
      </c>
      <c r="AG42" s="283">
        <f>IF($F$47=TRUE,(IF(AG4&lt;=(ROUNDUP(Pieņēmumi!$D$53,0)+$E$46),(IF(AG4&lt;=ROUNDUP(Pieņēmumi!$D$53,0)+$E$48,IF(ROUNDUP(Pieņēmumi!$D$53,0)+$E$48=Finansējums!AG4,(Finansējums!AG4-Pieņēmumi!$D$53-$E$48),0),IF(AG4=($E$46+ROUNDUP(Pieņēmumi!$D$53,0)),(1-(ROUNDUP(Pieņēmumi!$D$53,0)-Pieņēmumi!$D$53)),1))),0)),(IF(AG4&lt;=($E$46+ROUNDUP(Pieņēmumi!$D$53,0)),IF(Finansējums!AG4&lt;=ROUNDUP(Pieņēmumi!$D$53,0),IF(Finansējums!AG4=ROUNDUP(Pieņēmumi!$D$53,0),AG4-Pieņēmumi!$D$53,0),IF(AG4=($E$46+ROUNDUP(Pieņēmumi!$D$53,0)),(1-(ROUNDUP(Pieņēmumi!$D$53,0)-Pieņēmumi!$D$53)),1)),0)))</f>
        <v>0</v>
      </c>
      <c r="AH42" s="283">
        <f>IF($F$47=TRUE,(IF(AH4&lt;=(ROUNDUP(Pieņēmumi!$D$53,0)+$E$46),(IF(AH4&lt;=ROUNDUP(Pieņēmumi!$D$53,0)+$E$48,IF(ROUNDUP(Pieņēmumi!$D$53,0)+$E$48=Finansējums!AH4,(Finansējums!AH4-Pieņēmumi!$D$53-$E$48),0),IF(AH4=($E$46+ROUNDUP(Pieņēmumi!$D$53,0)),(1-(ROUNDUP(Pieņēmumi!$D$53,0)-Pieņēmumi!$D$53)),1))),0)),(IF(AH4&lt;=($E$46+ROUNDUP(Pieņēmumi!$D$53,0)),IF(Finansējums!AH4&lt;=ROUNDUP(Pieņēmumi!$D$53,0),IF(Finansējums!AH4=ROUNDUP(Pieņēmumi!$D$53,0),AH4-Pieņēmumi!$D$53,0),IF(AH4=($E$46+ROUNDUP(Pieņēmumi!$D$53,0)),(1-(ROUNDUP(Pieņēmumi!$D$53,0)-Pieņēmumi!$D$53)),1)),0)))</f>
        <v>0</v>
      </c>
      <c r="AI42" s="283">
        <f>IF($F$47=TRUE,(IF(AI4&lt;=(ROUNDUP(Pieņēmumi!$D$53,0)+$E$46),(IF(AI4&lt;=ROUNDUP(Pieņēmumi!$D$53,0)+$E$48,IF(ROUNDUP(Pieņēmumi!$D$53,0)+$E$48=Finansējums!AI4,(Finansējums!AI4-Pieņēmumi!$D$53-$E$48),0),IF(AI4=($E$46+ROUNDUP(Pieņēmumi!$D$53,0)),(1-(ROUNDUP(Pieņēmumi!$D$53,0)-Pieņēmumi!$D$53)),1))),0)),(IF(AI4&lt;=($E$46+ROUNDUP(Pieņēmumi!$D$53,0)),IF(Finansējums!AI4&lt;=ROUNDUP(Pieņēmumi!$D$53,0),IF(Finansējums!AI4=ROUNDUP(Pieņēmumi!$D$53,0),AI4-Pieņēmumi!$D$53,0),IF(AI4=($E$46+ROUNDUP(Pieņēmumi!$D$53,0)),(1-(ROUNDUP(Pieņēmumi!$D$53,0)-Pieņēmumi!$D$53)),1)),0)))</f>
        <v>0</v>
      </c>
      <c r="AJ42" s="283">
        <f>IF($F$47=TRUE,(IF(AJ4&lt;=(ROUNDUP(Pieņēmumi!$D$53,0)+$E$46),(IF(AJ4&lt;=ROUNDUP(Pieņēmumi!$D$53,0)+$E$48,IF(ROUNDUP(Pieņēmumi!$D$53,0)+$E$48=Finansējums!AJ4,(Finansējums!AJ4-Pieņēmumi!$D$53-$E$48),0),IF(AJ4=($E$46+ROUNDUP(Pieņēmumi!$D$53,0)),(1-(ROUNDUP(Pieņēmumi!$D$53,0)-Pieņēmumi!$D$53)),1))),0)),(IF(AJ4&lt;=($E$46+ROUNDUP(Pieņēmumi!$D$53,0)),IF(Finansējums!AJ4&lt;=ROUNDUP(Pieņēmumi!$D$53,0),IF(Finansējums!AJ4=ROUNDUP(Pieņēmumi!$D$53,0),AJ4-Pieņēmumi!$D$53,0),IF(AJ4=($E$46+ROUNDUP(Pieņēmumi!$D$53,0)),(1-(ROUNDUP(Pieņēmumi!$D$53,0)-Pieņēmumi!$D$53)),1)),0)))</f>
        <v>0</v>
      </c>
      <c r="AK42" s="283">
        <f>IF($F$47=TRUE,(IF(AK4&lt;=(ROUNDUP(Pieņēmumi!$D$53,0)+$E$46),(IF(AK4&lt;=ROUNDUP(Pieņēmumi!$D$53,0)+$E$48,IF(ROUNDUP(Pieņēmumi!$D$53,0)+$E$48=Finansējums!AK4,(Finansējums!AK4-Pieņēmumi!$D$53-$E$48),0),IF(AK4=($E$46+ROUNDUP(Pieņēmumi!$D$53,0)),(1-(ROUNDUP(Pieņēmumi!$D$53,0)-Pieņēmumi!$D$53)),1))),0)),(IF(AK4&lt;=($E$46+ROUNDUP(Pieņēmumi!$D$53,0)),IF(Finansējums!AK4&lt;=ROUNDUP(Pieņēmumi!$D$53,0),IF(Finansējums!AK4=ROUNDUP(Pieņēmumi!$D$53,0),AK4-Pieņēmumi!$D$53,0),IF(AK4=($E$46+ROUNDUP(Pieņēmumi!$D$53,0)),(1-(ROUNDUP(Pieņēmumi!$D$53,0)-Pieņēmumi!$D$53)),1)),0)))</f>
        <v>0</v>
      </c>
      <c r="AL42" s="283">
        <f>IF($F$47=TRUE,(IF(AL4&lt;=(ROUNDUP(Pieņēmumi!$D$53,0)+$E$46),(IF(AL4&lt;=ROUNDUP(Pieņēmumi!$D$53,0)+$E$48,IF(ROUNDUP(Pieņēmumi!$D$53,0)+$E$48=Finansējums!AL4,(Finansējums!AL4-Pieņēmumi!$D$53-$E$48),0),IF(AL4=($E$46+ROUNDUP(Pieņēmumi!$D$53,0)),(1-(ROUNDUP(Pieņēmumi!$D$53,0)-Pieņēmumi!$D$53)),1))),0)),(IF(AL4&lt;=($E$46+ROUNDUP(Pieņēmumi!$D$53,0)),IF(Finansējums!AL4&lt;=ROUNDUP(Pieņēmumi!$D$53,0),IF(Finansējums!AL4=ROUNDUP(Pieņēmumi!$D$53,0),AL4-Pieņēmumi!$D$53,0),IF(AL4=($E$46+ROUNDUP(Pieņēmumi!$D$53,0)),(1-(ROUNDUP(Pieņēmumi!$D$53,0)-Pieņēmumi!$D$53)),1)),0)))</f>
        <v>0</v>
      </c>
      <c r="AM42" s="283">
        <f>IF($F$47=TRUE,(IF(AM4&lt;=(ROUNDUP(Pieņēmumi!$D$53,0)+$E$46),(IF(AM4&lt;=ROUNDUP(Pieņēmumi!$D$53,0)+$E$48,IF(ROUNDUP(Pieņēmumi!$D$53,0)+$E$48=Finansējums!AM4,(Finansējums!AM4-Pieņēmumi!$D$53-$E$48),0),IF(AM4=($E$46+ROUNDUP(Pieņēmumi!$D$53,0)),(1-(ROUNDUP(Pieņēmumi!$D$53,0)-Pieņēmumi!$D$53)),1))),0)),(IF(AM4&lt;=($E$46+ROUNDUP(Pieņēmumi!$D$53,0)),IF(Finansējums!AM4&lt;=ROUNDUP(Pieņēmumi!$D$53,0),IF(Finansējums!AM4=ROUNDUP(Pieņēmumi!$D$53,0),AM4-Pieņēmumi!$D$53,0),IF(AM4=($E$46+ROUNDUP(Pieņēmumi!$D$53,0)),(1-(ROUNDUP(Pieņēmumi!$D$53,0)-Pieņēmumi!$D$53)),1)),0)))</f>
        <v>0</v>
      </c>
      <c r="AN42" s="283">
        <f>IF($F$47=TRUE,(IF(AN4&lt;=(ROUNDUP(Pieņēmumi!$D$53,0)+$E$46),(IF(AN4&lt;=ROUNDUP(Pieņēmumi!$D$53,0)+$E$48,IF(ROUNDUP(Pieņēmumi!$D$53,0)+$E$48=Finansējums!AN4,(Finansējums!AN4-Pieņēmumi!$D$53-$E$48),0),IF(AN4=($E$46+ROUNDUP(Pieņēmumi!$D$53,0)),(1-(ROUNDUP(Pieņēmumi!$D$53,0)-Pieņēmumi!$D$53)),1))),0)),(IF(AN4&lt;=($E$46+ROUNDUP(Pieņēmumi!$D$53,0)),IF(Finansējums!AN4&lt;=ROUNDUP(Pieņēmumi!$D$53,0),IF(Finansējums!AN4=ROUNDUP(Pieņēmumi!$D$53,0),AN4-Pieņēmumi!$D$53,0),IF(AN4=($E$46+ROUNDUP(Pieņēmumi!$D$53,0)),(1-(ROUNDUP(Pieņēmumi!$D$53,0)-Pieņēmumi!$D$53)),1)),0)))</f>
        <v>0</v>
      </c>
      <c r="AO42" s="283">
        <f>IF($F$47=TRUE,(IF(AO4&lt;=(ROUNDUP(Pieņēmumi!$D$53,0)+$E$46),(IF(AO4&lt;=ROUNDUP(Pieņēmumi!$D$53,0)+$E$48,IF(ROUNDUP(Pieņēmumi!$D$53,0)+$E$48=Finansējums!AO4,(Finansējums!AO4-Pieņēmumi!$D$53-$E$48),0),IF(AO4=($E$46+ROUNDUP(Pieņēmumi!$D$53,0)),(1-(ROUNDUP(Pieņēmumi!$D$53,0)-Pieņēmumi!$D$53)),1))),0)),(IF(AO4&lt;=($E$46+ROUNDUP(Pieņēmumi!$D$53,0)),IF(Finansējums!AO4&lt;=ROUNDUP(Pieņēmumi!$D$53,0),IF(Finansējums!AO4=ROUNDUP(Pieņēmumi!$D$53,0),AO4-Pieņēmumi!$D$53,0),IF(AO4=($E$46+ROUNDUP(Pieņēmumi!$D$53,0)),(1-(ROUNDUP(Pieņēmumi!$D$53,0)-Pieņēmumi!$D$53)),1)),0)))</f>
        <v>0</v>
      </c>
      <c r="AP42" s="283">
        <f>IF($F$47=TRUE,(IF(AP4&lt;=(ROUNDUP(Pieņēmumi!$D$53,0)+$E$46),(IF(AP4&lt;=ROUNDUP(Pieņēmumi!$D$53,0)+$E$48,IF(ROUNDUP(Pieņēmumi!$D$53,0)+$E$48=Finansējums!AP4,(Finansējums!AP4-Pieņēmumi!$D$53-$E$48),0),IF(AP4=($E$46+ROUNDUP(Pieņēmumi!$D$53,0)),(1-(ROUNDUP(Pieņēmumi!$D$53,0)-Pieņēmumi!$D$53)),1))),0)),(IF(AP4&lt;=($E$46+ROUNDUP(Pieņēmumi!$D$53,0)),IF(Finansējums!AP4&lt;=ROUNDUP(Pieņēmumi!$D$53,0),IF(Finansējums!AP4=ROUNDUP(Pieņēmumi!$D$53,0),AP4-Pieņēmumi!$D$53,0),IF(AP4=($E$46+ROUNDUP(Pieņēmumi!$D$53,0)),(1-(ROUNDUP(Pieņēmumi!$D$53,0)-Pieņēmumi!$D$53)),1)),0)))</f>
        <v>0</v>
      </c>
      <c r="AQ42" s="283">
        <f>IF($F$47=TRUE,(IF(AQ4&lt;=(ROUNDUP(Pieņēmumi!$D$53,0)+$E$46),(IF(AQ4&lt;=ROUNDUP(Pieņēmumi!$D$53,0)+$E$48,IF(ROUNDUP(Pieņēmumi!$D$53,0)+$E$48=Finansējums!AQ4,(Finansējums!AQ4-Pieņēmumi!$D$53-$E$48),0),IF(AQ4=($E$46+ROUNDUP(Pieņēmumi!$D$53,0)),(1-(ROUNDUP(Pieņēmumi!$D$53,0)-Pieņēmumi!$D$53)),1))),0)),(IF(AQ4&lt;=($E$46+ROUNDUP(Pieņēmumi!$D$53,0)),IF(Finansējums!AQ4&lt;=ROUNDUP(Pieņēmumi!$D$53,0),IF(Finansējums!AQ4=ROUNDUP(Pieņēmumi!$D$53,0),AQ4-Pieņēmumi!$D$53,0),IF(AQ4=($E$46+ROUNDUP(Pieņēmumi!$D$53,0)),(1-(ROUNDUP(Pieņēmumi!$D$53,0)-Pieņēmumi!$D$53)),1)),0)))</f>
        <v>0</v>
      </c>
      <c r="AR42" s="283">
        <f>IF($F$47=TRUE,(IF(AR4&lt;=(ROUNDUP(Pieņēmumi!$D$53,0)+$E$46),(IF(AR4&lt;=ROUNDUP(Pieņēmumi!$D$53,0)+$E$48,IF(ROUNDUP(Pieņēmumi!$D$53,0)+$E$48=Finansējums!AR4,(Finansējums!AR4-Pieņēmumi!$D$53-$E$48),0),IF(AR4=($E$46+ROUNDUP(Pieņēmumi!$D$53,0)),(1-(ROUNDUP(Pieņēmumi!$D$53,0)-Pieņēmumi!$D$53)),1))),0)),(IF(AR4&lt;=($E$46+ROUNDUP(Pieņēmumi!$D$53,0)),IF(Finansējums!AR4&lt;=ROUNDUP(Pieņēmumi!$D$53,0),IF(Finansējums!AR4=ROUNDUP(Pieņēmumi!$D$53,0),AR4-Pieņēmumi!$D$53,0),IF(AR4=($E$46+ROUNDUP(Pieņēmumi!$D$53,0)),(1-(ROUNDUP(Pieņēmumi!$D$53,0)-Pieņēmumi!$D$53)),1)),0)))</f>
        <v>0</v>
      </c>
      <c r="AS42" s="283">
        <f>IF($F$47=TRUE,(IF(AS4&lt;=(ROUNDUP(Pieņēmumi!$D$53,0)+$E$46),(IF(AS4&lt;=ROUNDUP(Pieņēmumi!$D$53,0)+$E$48,IF(ROUNDUP(Pieņēmumi!$D$53,0)+$E$48=Finansējums!AS4,(Finansējums!AS4-Pieņēmumi!$D$53-$E$48),0),IF(AS4=($E$46+ROUNDUP(Pieņēmumi!$D$53,0)),(1-(ROUNDUP(Pieņēmumi!$D$53,0)-Pieņēmumi!$D$53)),1))),0)),(IF(AS4&lt;=($E$46+ROUNDUP(Pieņēmumi!$D$53,0)),IF(Finansējums!AS4&lt;=ROUNDUP(Pieņēmumi!$D$53,0),IF(Finansējums!AS4=ROUNDUP(Pieņēmumi!$D$53,0),AS4-Pieņēmumi!$D$53,0),IF(AS4=($E$46+ROUNDUP(Pieņēmumi!$D$53,0)),(1-(ROUNDUP(Pieņēmumi!$D$53,0)-Pieņēmumi!$D$53)),1)),0)))</f>
        <v>0</v>
      </c>
      <c r="AT42" s="283">
        <f>IF($F$47=TRUE,(IF(AT4&lt;=(ROUNDUP(Pieņēmumi!$D$53,0)+$E$46),(IF(AT4&lt;=ROUNDUP(Pieņēmumi!$D$53,0)+$E$48,IF(ROUNDUP(Pieņēmumi!$D$53,0)+$E$48=Finansējums!AT4,(Finansējums!AT4-Pieņēmumi!$D$53-$E$48),0),IF(AT4=($E$46+ROUNDUP(Pieņēmumi!$D$53,0)),(1-(ROUNDUP(Pieņēmumi!$D$53,0)-Pieņēmumi!$D$53)),1))),0)),(IF(AT4&lt;=($E$46+ROUNDUP(Pieņēmumi!$D$53,0)),IF(Finansējums!AT4&lt;=ROUNDUP(Pieņēmumi!$D$53,0),IF(Finansējums!AT4=ROUNDUP(Pieņēmumi!$D$53,0),AT4-Pieņēmumi!$D$53,0),IF(AT4=($E$46+ROUNDUP(Pieņēmumi!$D$53,0)),(1-(ROUNDUP(Pieņēmumi!$D$53,0)-Pieņēmumi!$D$53)),1)),0)))</f>
        <v>0</v>
      </c>
      <c r="AU42" s="283">
        <f>IF($F$47=TRUE,(IF(AU4&lt;=(ROUNDUP(Pieņēmumi!$D$53,0)+$E$46),(IF(AU4&lt;=ROUNDUP(Pieņēmumi!$D$53,0)+$E$48,IF(ROUNDUP(Pieņēmumi!$D$53,0)+$E$48=Finansējums!AU4,(Finansējums!AU4-Pieņēmumi!$D$53-$E$48),0),IF(AU4=($E$46+ROUNDUP(Pieņēmumi!$D$53,0)),(1-(ROUNDUP(Pieņēmumi!$D$53,0)-Pieņēmumi!$D$53)),1))),0)),(IF(AU4&lt;=($E$46+ROUNDUP(Pieņēmumi!$D$53,0)),IF(Finansējums!AU4&lt;=ROUNDUP(Pieņēmumi!$D$53,0),IF(Finansējums!AU4=ROUNDUP(Pieņēmumi!$D$53,0),AU4-Pieņēmumi!$D$53,0),IF(AU4=($E$46+ROUNDUP(Pieņēmumi!$D$53,0)),(1-(ROUNDUP(Pieņēmumi!$D$53,0)-Pieņēmumi!$D$53)),1)),0)))</f>
        <v>0</v>
      </c>
      <c r="AV42" s="193"/>
      <c r="AW42" s="193"/>
      <c r="AX42" s="193"/>
      <c r="AY42" s="193"/>
      <c r="AZ42" s="193"/>
      <c r="BA42" s="53"/>
      <c r="BB42" s="53"/>
      <c r="BC42" s="53"/>
      <c r="BD42" s="53"/>
      <c r="BE42" s="53"/>
      <c r="BF42" s="53"/>
      <c r="BG42" s="53"/>
      <c r="BH42" s="53"/>
      <c r="BI42" s="53"/>
      <c r="BJ42" s="53"/>
      <c r="BK42" s="53"/>
      <c r="BL42" s="53"/>
      <c r="BM42" s="53"/>
      <c r="BN42" s="53"/>
      <c r="BO42" s="53"/>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53"/>
      <c r="DP42" s="53"/>
      <c r="DQ42" s="53"/>
      <c r="DR42" s="53"/>
      <c r="DS42" s="53"/>
      <c r="DT42" s="53"/>
      <c r="DU42" s="53"/>
      <c r="DV42" s="53"/>
      <c r="DW42" s="53"/>
      <c r="DX42" s="53"/>
      <c r="DY42" s="53"/>
      <c r="DZ42" s="53"/>
      <c r="EA42" s="53"/>
      <c r="EB42" s="53"/>
      <c r="EC42" s="53"/>
      <c r="ED42" s="53"/>
      <c r="EE42" s="53"/>
      <c r="EF42" s="53"/>
      <c r="EG42" s="53"/>
      <c r="EH42" s="53"/>
      <c r="EI42" s="53"/>
      <c r="EJ42" s="53"/>
      <c r="EK42" s="53"/>
      <c r="EL42" s="53"/>
      <c r="EM42" s="53"/>
      <c r="EN42" s="53"/>
      <c r="EO42" s="53"/>
      <c r="EP42" s="53"/>
      <c r="EQ42" s="53"/>
      <c r="ER42" s="53"/>
      <c r="ES42" s="53"/>
      <c r="ET42" s="53"/>
      <c r="EU42" s="53"/>
      <c r="EV42" s="53"/>
      <c r="EW42" s="53"/>
      <c r="EX42" s="53"/>
      <c r="EY42" s="53"/>
      <c r="EZ42" s="53"/>
      <c r="FA42" s="53"/>
      <c r="FB42" s="53"/>
      <c r="FC42" s="53"/>
      <c r="FD42" s="53"/>
      <c r="FE42" s="53"/>
      <c r="FF42" s="53"/>
      <c r="FG42" s="53"/>
      <c r="FH42" s="53"/>
      <c r="FI42" s="53"/>
      <c r="FJ42" s="53"/>
      <c r="FK42" s="53"/>
      <c r="FL42" s="53"/>
      <c r="FM42" s="53"/>
      <c r="FN42" s="53"/>
      <c r="FO42" s="53"/>
      <c r="FP42" s="53"/>
      <c r="FQ42" s="53"/>
      <c r="FR42" s="53"/>
      <c r="FS42" s="53"/>
      <c r="FT42" s="53"/>
      <c r="FU42" s="53"/>
      <c r="FV42" s="53"/>
      <c r="FW42" s="53"/>
      <c r="FX42" s="53"/>
      <c r="FY42" s="53"/>
      <c r="FZ42" s="53"/>
      <c r="GA42" s="53"/>
      <c r="GB42" s="53"/>
      <c r="GC42" s="53"/>
      <c r="GD42" s="53"/>
      <c r="GE42" s="53"/>
      <c r="GF42" s="53"/>
      <c r="GG42" s="53"/>
      <c r="GH42" s="53"/>
      <c r="GI42" s="53"/>
      <c r="GJ42" s="53"/>
      <c r="GK42" s="53"/>
      <c r="GL42" s="53"/>
      <c r="GM42" s="53"/>
      <c r="GN42" s="53"/>
      <c r="GO42" s="53"/>
      <c r="GP42" s="53"/>
      <c r="GQ42" s="53"/>
      <c r="GR42" s="53"/>
      <c r="GS42" s="53"/>
      <c r="GT42" s="53"/>
      <c r="GU42" s="53"/>
      <c r="GV42" s="53"/>
      <c r="GW42" s="53"/>
      <c r="GX42" s="53"/>
      <c r="GY42" s="53"/>
      <c r="GZ42" s="53"/>
      <c r="HA42" s="53"/>
      <c r="HB42" s="53"/>
      <c r="HC42" s="53"/>
      <c r="HD42" s="53"/>
    </row>
    <row r="43" spans="1:212" s="58" customFormat="1" ht="20" customHeight="1" x14ac:dyDescent="0.25">
      <c r="A43" s="183"/>
      <c r="B43" s="128" t="s">
        <v>26</v>
      </c>
      <c r="C43" s="123" t="s">
        <v>5</v>
      </c>
      <c r="D43" s="127"/>
      <c r="E43" s="198">
        <f>E19</f>
        <v>0.1069606567590845</v>
      </c>
      <c r="F43" s="191"/>
      <c r="G43" s="191"/>
      <c r="H43" s="127"/>
      <c r="I43" s="127"/>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194"/>
      <c r="AW43" s="194"/>
      <c r="AX43" s="194"/>
      <c r="AY43" s="194"/>
      <c r="AZ43" s="194"/>
      <c r="BA43" s="194"/>
    </row>
    <row r="44" spans="1:212" s="58" customFormat="1" ht="20" customHeight="1" x14ac:dyDescent="0.25">
      <c r="A44" s="183"/>
      <c r="B44" s="128" t="s">
        <v>27</v>
      </c>
      <c r="C44" s="123" t="s">
        <v>8</v>
      </c>
      <c r="D44" s="127"/>
      <c r="E44" s="246">
        <f>SUM(J50:K50)</f>
        <v>133383.64662000001</v>
      </c>
      <c r="F44" s="191"/>
      <c r="G44" s="191"/>
      <c r="H44" s="127"/>
      <c r="I44" s="127"/>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194"/>
      <c r="AW44" s="194"/>
      <c r="AX44" s="194"/>
      <c r="AY44" s="194"/>
      <c r="AZ44" s="194"/>
      <c r="BA44" s="194"/>
    </row>
    <row r="45" spans="1:212" s="58" customFormat="1" ht="20" customHeight="1" x14ac:dyDescent="0.25">
      <c r="A45" s="183"/>
      <c r="B45" s="128" t="s">
        <v>30</v>
      </c>
      <c r="C45" s="123" t="s">
        <v>5</v>
      </c>
      <c r="D45" s="127"/>
      <c r="E45" s="198">
        <f>Pieņēmumi!D61</f>
        <v>0.03</v>
      </c>
      <c r="F45" s="191"/>
      <c r="G45" s="191"/>
      <c r="H45" s="127"/>
      <c r="I45" s="127"/>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194"/>
      <c r="AW45" s="194"/>
      <c r="AX45" s="194"/>
      <c r="AY45" s="194"/>
      <c r="AZ45" s="194"/>
      <c r="BA45" s="194"/>
    </row>
    <row r="46" spans="1:212" s="58" customFormat="1" ht="20" customHeight="1" x14ac:dyDescent="0.25">
      <c r="A46" s="183"/>
      <c r="B46" s="178" t="s">
        <v>31</v>
      </c>
      <c r="C46" s="179" t="s">
        <v>13</v>
      </c>
      <c r="D46" s="127"/>
      <c r="E46" s="200">
        <f>Pieņēmumi!D62</f>
        <v>15</v>
      </c>
      <c r="F46" s="191"/>
      <c r="G46" s="191"/>
      <c r="H46" s="127"/>
      <c r="I46" s="127"/>
      <c r="J46" s="258">
        <f>IF(AND(J42&gt;0,$F$47=TRUE),$E$46-SUM(I$42:$J42)-$E$48,IF(J42&gt;0,$E$46-SUM(I$42:$J42),0))</f>
        <v>0</v>
      </c>
      <c r="K46" s="258">
        <f>IF(AND(K42&gt;0,$F$47=TRUE),$E$46-SUM(J$42:$J42)-$E$48,IF(K42&gt;0,$E$46-SUM(J$42:$J42),0))</f>
        <v>0</v>
      </c>
      <c r="L46" s="258">
        <f>IF(AND(L42&gt;0,$F$47=TRUE),$E$46-SUM($J$42:K42)-$E$48,IF(L42&gt;0,$E$46-SUM($J$42:K42),0))</f>
        <v>0</v>
      </c>
      <c r="M46" s="258">
        <f>IF(AND(M42&gt;0,$F$47=TRUE),$E$46-SUM($J$42:L42)-$E$48,IF(M42&gt;0,$E$46-SUM($J$42:L42),0))</f>
        <v>0</v>
      </c>
      <c r="N46" s="258">
        <f>IF(AND(N42&gt;0,$F$47=TRUE),$E$46-SUM($J$42:M42)-$E$48,IF(N42&gt;0,$E$46-SUM($J$42:M42),0))</f>
        <v>0</v>
      </c>
      <c r="O46" s="258">
        <f>IF(AND(O42&gt;0,$F$47=TRUE),$E$46-SUM($J$42:N42)-$E$48,IF(O42&gt;0,$E$46-SUM($J$42:N42),0))</f>
        <v>0</v>
      </c>
      <c r="P46" s="258">
        <f>IF(AND(P42&gt;0,$F$47=TRUE),$E$46-SUM($J$42:O42)-$E$48,IF(P42&gt;0,$E$46-SUM($J$42:O42),0))</f>
        <v>0</v>
      </c>
      <c r="Q46" s="258">
        <f>IF(AND(Q42&gt;0,$F$47=TRUE),$E$46-SUM($J$42:P42)-$E$48,IF(Q42&gt;0,$E$46-SUM($J$42:P42),0))</f>
        <v>0</v>
      </c>
      <c r="R46" s="258">
        <f>IF(AND(R42&gt;0,$F$47=TRUE),$E$46-SUM($J$42:Q42)-$E$48,IF(R42&gt;0,$E$46-SUM($J$42:Q42),0))</f>
        <v>0</v>
      </c>
      <c r="S46" s="258">
        <f>IF(AND(S42&gt;0,$F$47=TRUE),$E$46-SUM($J$42:R42)-$E$48,IF(S42&gt;0,$E$46-SUM($J$42:R42),0))</f>
        <v>0</v>
      </c>
      <c r="T46" s="258">
        <f>IF(AND(T42&gt;0,$F$47=TRUE),$E$46-SUM($J$42:S42)-$E$48,IF(T42&gt;0,$E$46-SUM($J$42:S42),0))</f>
        <v>0</v>
      </c>
      <c r="U46" s="258">
        <f>IF(AND(U42&gt;0,$F$47=TRUE),$E$46-SUM($J$42:T42)-$E$48,IF(U42&gt;0,$E$46-SUM($J$42:T42),0))</f>
        <v>0</v>
      </c>
      <c r="V46" s="258">
        <f>IF(AND(V42&gt;0,$F$47=TRUE),$E$46-SUM($J$42:U42)-$E$48,IF(V42&gt;0,$E$46-SUM($J$42:U42),0))</f>
        <v>5</v>
      </c>
      <c r="W46" s="258">
        <f>IF(AND(W42&gt;0,$F$47=TRUE),$E$46-SUM($J$42:V42)-$E$48,IF(W42&gt;0,$E$46-SUM($J$42:V42),0))</f>
        <v>4</v>
      </c>
      <c r="X46" s="258">
        <f>IF(AND(X42&gt;0,$F$47=TRUE),$E$46-SUM($J$42:W42)-$E$48,IF(X42&gt;0,$E$46-SUM($J$42:W42),0))</f>
        <v>3</v>
      </c>
      <c r="Y46" s="258">
        <f>IF(AND(Y42&gt;0,$F$47=TRUE),$E$46-SUM($J$42:X42)-$E$48,IF(Y42&gt;0,$E$46-SUM($J$42:X42),0))</f>
        <v>2</v>
      </c>
      <c r="Z46" s="258">
        <f>IF(AND(Z42&gt;0,$F$47=TRUE),$E$46-SUM($J$42:Y42)-$E$48,IF(Z42&gt;0,$E$46-SUM($J$42:Y42),0))</f>
        <v>1</v>
      </c>
      <c r="AA46" s="258">
        <f>IF(AND(AA42&gt;0,$F$47=TRUE),$E$46-SUM($J$42:Z42)-$E$48,IF(AA42&gt;0,$E$46-SUM($J$42:Z42),0))</f>
        <v>0</v>
      </c>
      <c r="AB46" s="258">
        <f>IF(AND(AB42&gt;0,$F$47=TRUE),$E$46-SUM($J$42:AA42)-$E$48,IF(AB42&gt;0,$E$46-SUM($J$42:AA42),0))</f>
        <v>0</v>
      </c>
      <c r="AC46" s="258">
        <f>IF(AND(AC42&gt;0,$F$47=TRUE),$E$46-SUM($J$42:AB42)-$E$48,IF(AC42&gt;0,$E$46-SUM($J$42:AB42),0))</f>
        <v>0</v>
      </c>
      <c r="AD46" s="258">
        <f>IF(AND(AD42&gt;0,$F$47=TRUE),$E$46-SUM($J$42:AC42)-$E$48,IF(AD42&gt;0,$E$46-SUM($J$42:AC42),0))</f>
        <v>0</v>
      </c>
      <c r="AE46" s="258">
        <f>IF(AND(AE42&gt;0,$F$47=TRUE),$E$46-SUM($J$42:AD42)-$E$48,IF(AE42&gt;0,$E$46-SUM($J$42:AD42),0))</f>
        <v>0</v>
      </c>
      <c r="AF46" s="258">
        <f>IF(AND(AF42&gt;0,$F$47=TRUE),$E$46-SUM($J$42:AE42)-$E$48,IF(AF42&gt;0,$E$46-SUM($J$42:AE42),0))</f>
        <v>0</v>
      </c>
      <c r="AG46" s="258">
        <f>IF(AND(AG42&gt;0,$F$47=TRUE),$E$46-SUM($J$42:AF42)-$E$48,IF(AG42&gt;0,$E$46-SUM($J$42:AF42),0))</f>
        <v>0</v>
      </c>
      <c r="AH46" s="258">
        <f>IF(AND(AH42&gt;0,$F$47=TRUE),$E$46-SUM($J$42:AG42)-$E$48,IF(AH42&gt;0,$E$46-SUM($J$42:AG42),0))</f>
        <v>0</v>
      </c>
      <c r="AI46" s="258">
        <f>IF(AND(AI42&gt;0,$F$47=TRUE),$E$46-SUM($J$42:AH42)-$E$48,IF(AI42&gt;0,$E$46-SUM($J$42:AH42),0))</f>
        <v>0</v>
      </c>
      <c r="AJ46" s="258">
        <f>IF(AND(AJ42&gt;0,$F$47=TRUE),$E$46-SUM($J$42:AI42)-$E$48,IF(AJ42&gt;0,$E$46-SUM($J$42:AI42),0))</f>
        <v>0</v>
      </c>
      <c r="AK46" s="258">
        <f>IF(AND(AK42&gt;0,$F$47=TRUE),$E$46-SUM($J$42:AJ42)-$E$48,IF(AK42&gt;0,$E$46-SUM($J$42:AJ42),0))</f>
        <v>0</v>
      </c>
      <c r="AL46" s="258">
        <f>IF(AND(AL42&gt;0,$F$47=TRUE),$E$46-SUM($J$42:AK42)-$E$48,IF(AL42&gt;0,$E$46-SUM($J$42:AK42),0))</f>
        <v>0</v>
      </c>
      <c r="AM46" s="258">
        <f>IF(AND(AM42&gt;0,$F$47=TRUE),$E$46-SUM($J$42:AL42)-$E$48,IF(AM42&gt;0,$E$46-SUM($J$42:AL42),0))</f>
        <v>0</v>
      </c>
      <c r="AN46" s="258">
        <f>IF(AND(AN42&gt;0,$F$47=TRUE),$E$46-SUM($J$42:AM42)-$E$48,IF(AN42&gt;0,$E$46-SUM($J$42:AM42),0))</f>
        <v>0</v>
      </c>
      <c r="AO46" s="258">
        <f>IF(AND(AO42&gt;0,$F$47=TRUE),$E$46-SUM($J$42:AN42)-$E$48,IF(AO42&gt;0,$E$46-SUM($J$42:AN42),0))</f>
        <v>0</v>
      </c>
      <c r="AP46" s="258">
        <f>IF(AND(AP42&gt;0,$F$47=TRUE),$E$46-SUM($J$42:AO42)-$E$48,IF(AP42&gt;0,$E$46-SUM($J$42:AO42),0))</f>
        <v>0</v>
      </c>
      <c r="AQ46" s="258">
        <f>IF(AND(AQ42&gt;0,$F$47=TRUE),$E$46-SUM($J$42:AP42)-$E$48,IF(AQ42&gt;0,$E$46-SUM($J$42:AP42),0))</f>
        <v>0</v>
      </c>
      <c r="AR46" s="258">
        <f>IF(AND(AR42&gt;0,$F$47=TRUE),$E$46-SUM($J$42:AQ42)-$E$48,IF(AR42&gt;0,$E$46-SUM($J$42:AQ42),0))</f>
        <v>0</v>
      </c>
      <c r="AS46" s="258">
        <f>IF(AND(AS42&gt;0,$F$47=TRUE),$E$46-SUM($J$42:AR42)-$E$48,IF(AS42&gt;0,$E$46-SUM($J$42:AR42),0))</f>
        <v>0</v>
      </c>
      <c r="AT46" s="258">
        <f>IF(AND(AT42&gt;0,$F$47=TRUE),$E$46-SUM($J$42:AS42)-$E$48,IF(AT42&gt;0,$E$46-SUM($J$42:AS42),0))</f>
        <v>0</v>
      </c>
      <c r="AU46" s="258">
        <f>IF(AND(AU42&gt;0,$F$47=TRUE),$E$46-SUM($J$42:AT42)-$E$48,IF(AU42&gt;0,$E$46-SUM($J$42:AT42),0))</f>
        <v>0</v>
      </c>
      <c r="AV46" s="194"/>
      <c r="AW46" s="194"/>
      <c r="AX46" s="194"/>
      <c r="AY46" s="194"/>
      <c r="AZ46" s="194"/>
      <c r="BA46" s="194"/>
    </row>
    <row r="47" spans="1:212" s="46" customFormat="1" ht="20" customHeight="1" x14ac:dyDescent="0.25">
      <c r="A47" s="113"/>
      <c r="B47" s="131" t="s">
        <v>208</v>
      </c>
      <c r="C47" s="114"/>
      <c r="D47" s="114"/>
      <c r="E47" s="201"/>
      <c r="F47" s="202" t="b">
        <v>1</v>
      </c>
      <c r="G47" s="189"/>
      <c r="H47" s="114"/>
      <c r="I47" s="114"/>
      <c r="J47" s="264"/>
      <c r="K47" s="264"/>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2"/>
      <c r="AS47" s="193"/>
    </row>
    <row r="48" spans="1:212" s="46" customFormat="1" ht="20" customHeight="1" x14ac:dyDescent="0.25">
      <c r="A48" s="113"/>
      <c r="B48" s="131" t="s">
        <v>67</v>
      </c>
      <c r="C48" s="114" t="s">
        <v>13</v>
      </c>
      <c r="D48" s="114"/>
      <c r="E48" s="201">
        <f>Pieņēmumi!D63</f>
        <v>10</v>
      </c>
      <c r="F48" s="189"/>
      <c r="G48" s="189"/>
      <c r="H48" s="114"/>
      <c r="I48" s="114"/>
      <c r="J48" s="264"/>
      <c r="K48" s="264"/>
      <c r="L48" s="264"/>
      <c r="M48" s="264"/>
      <c r="N48" s="264"/>
      <c r="O48" s="264"/>
      <c r="P48" s="264"/>
      <c r="Q48" s="264"/>
      <c r="R48" s="264"/>
      <c r="S48" s="264"/>
      <c r="T48" s="264"/>
      <c r="U48" s="264"/>
      <c r="V48" s="264"/>
      <c r="W48" s="264"/>
      <c r="X48" s="264"/>
      <c r="Y48" s="264"/>
      <c r="Z48" s="264"/>
      <c r="AA48" s="264"/>
      <c r="AB48" s="264"/>
      <c r="AC48" s="264"/>
      <c r="AD48" s="264"/>
      <c r="AE48" s="264"/>
      <c r="AF48" s="264"/>
      <c r="AG48" s="264"/>
      <c r="AH48" s="264"/>
      <c r="AI48" s="264"/>
      <c r="AJ48" s="264"/>
      <c r="AK48" s="264"/>
      <c r="AL48" s="264"/>
      <c r="AM48" s="264"/>
      <c r="AN48" s="264"/>
      <c r="AO48" s="264"/>
      <c r="AP48" s="262"/>
      <c r="AS48" s="193"/>
    </row>
    <row r="49" spans="1:212" s="58" customFormat="1" ht="20" customHeight="1" x14ac:dyDescent="0.25">
      <c r="A49" s="183"/>
      <c r="B49" s="180" t="s">
        <v>32</v>
      </c>
      <c r="C49" s="123" t="s">
        <v>8</v>
      </c>
      <c r="D49" s="127"/>
      <c r="E49" s="205"/>
      <c r="F49" s="191"/>
      <c r="G49" s="191"/>
      <c r="H49" s="127"/>
      <c r="I49" s="127"/>
      <c r="J49" s="258">
        <f>I52</f>
        <v>0</v>
      </c>
      <c r="K49" s="258">
        <f t="shared" ref="K49:AU49" si="19">J52</f>
        <v>66691.823310000007</v>
      </c>
      <c r="L49" s="258">
        <f t="shared" si="19"/>
        <v>133383.64662000001</v>
      </c>
      <c r="M49" s="258">
        <f t="shared" si="19"/>
        <v>133383.64662000001</v>
      </c>
      <c r="N49" s="258">
        <f t="shared" si="19"/>
        <v>133383.64662000001</v>
      </c>
      <c r="O49" s="258">
        <f t="shared" si="19"/>
        <v>133383.64662000001</v>
      </c>
      <c r="P49" s="258">
        <f t="shared" si="19"/>
        <v>133383.64662000001</v>
      </c>
      <c r="Q49" s="258">
        <f t="shared" si="19"/>
        <v>133383.64662000001</v>
      </c>
      <c r="R49" s="258">
        <f t="shared" si="19"/>
        <v>133383.64662000001</v>
      </c>
      <c r="S49" s="258">
        <f t="shared" si="19"/>
        <v>133383.64662000001</v>
      </c>
      <c r="T49" s="258">
        <f t="shared" si="19"/>
        <v>133383.64662000001</v>
      </c>
      <c r="U49" s="258">
        <f t="shared" si="19"/>
        <v>133383.64662000001</v>
      </c>
      <c r="V49" s="258">
        <f t="shared" si="19"/>
        <v>133383.64662000001</v>
      </c>
      <c r="W49" s="258">
        <f t="shared" si="19"/>
        <v>106706.91729600001</v>
      </c>
      <c r="X49" s="258">
        <f t="shared" si="19"/>
        <v>80030.187972000014</v>
      </c>
      <c r="Y49" s="258">
        <f t="shared" si="19"/>
        <v>53353.458648000014</v>
      </c>
      <c r="Z49" s="258">
        <f t="shared" si="19"/>
        <v>26676.729324000007</v>
      </c>
      <c r="AA49" s="258">
        <f>Z52</f>
        <v>0</v>
      </c>
      <c r="AB49" s="258">
        <f t="shared" si="19"/>
        <v>0</v>
      </c>
      <c r="AC49" s="258">
        <f t="shared" si="19"/>
        <v>0</v>
      </c>
      <c r="AD49" s="258">
        <f t="shared" si="19"/>
        <v>0</v>
      </c>
      <c r="AE49" s="258">
        <f t="shared" si="19"/>
        <v>0</v>
      </c>
      <c r="AF49" s="258">
        <f t="shared" si="19"/>
        <v>0</v>
      </c>
      <c r="AG49" s="258">
        <f t="shared" si="19"/>
        <v>0</v>
      </c>
      <c r="AH49" s="258">
        <f t="shared" si="19"/>
        <v>0</v>
      </c>
      <c r="AI49" s="258">
        <f t="shared" si="19"/>
        <v>0</v>
      </c>
      <c r="AJ49" s="258">
        <f t="shared" si="19"/>
        <v>0</v>
      </c>
      <c r="AK49" s="258">
        <f t="shared" si="19"/>
        <v>0</v>
      </c>
      <c r="AL49" s="258">
        <f t="shared" si="19"/>
        <v>0</v>
      </c>
      <c r="AM49" s="258">
        <f t="shared" si="19"/>
        <v>0</v>
      </c>
      <c r="AN49" s="258">
        <f t="shared" si="19"/>
        <v>0</v>
      </c>
      <c r="AO49" s="258">
        <f t="shared" si="19"/>
        <v>0</v>
      </c>
      <c r="AP49" s="258">
        <f t="shared" si="19"/>
        <v>0</v>
      </c>
      <c r="AQ49" s="258">
        <f t="shared" si="19"/>
        <v>0</v>
      </c>
      <c r="AR49" s="258">
        <f t="shared" si="19"/>
        <v>0</v>
      </c>
      <c r="AS49" s="258">
        <f t="shared" si="19"/>
        <v>0</v>
      </c>
      <c r="AT49" s="258">
        <f t="shared" si="19"/>
        <v>0</v>
      </c>
      <c r="AU49" s="258">
        <f t="shared" si="19"/>
        <v>0</v>
      </c>
      <c r="AV49" s="194"/>
      <c r="AW49" s="194"/>
      <c r="AX49" s="194"/>
      <c r="AY49" s="194"/>
      <c r="AZ49" s="194"/>
      <c r="BA49" s="194"/>
    </row>
    <row r="50" spans="1:212" s="58" customFormat="1" ht="20" customHeight="1" x14ac:dyDescent="0.25">
      <c r="A50" s="183"/>
      <c r="B50" s="156" t="s">
        <v>33</v>
      </c>
      <c r="C50" s="123" t="s">
        <v>8</v>
      </c>
      <c r="D50" s="127"/>
      <c r="E50" s="205"/>
      <c r="F50" s="191"/>
      <c r="G50" s="191"/>
      <c r="H50" s="127"/>
      <c r="I50" s="127"/>
      <c r="J50" s="258">
        <f>J19</f>
        <v>66691.823310000007</v>
      </c>
      <c r="K50" s="258">
        <f t="shared" ref="K50:Q50" si="20">K19</f>
        <v>66691.823310000007</v>
      </c>
      <c r="L50" s="258">
        <f t="shared" si="20"/>
        <v>0</v>
      </c>
      <c r="M50" s="258">
        <f t="shared" si="20"/>
        <v>0</v>
      </c>
      <c r="N50" s="258">
        <f t="shared" si="20"/>
        <v>0</v>
      </c>
      <c r="O50" s="258">
        <f t="shared" si="20"/>
        <v>0</v>
      </c>
      <c r="P50" s="258">
        <f t="shared" si="20"/>
        <v>0</v>
      </c>
      <c r="Q50" s="258">
        <f t="shared" si="20"/>
        <v>0</v>
      </c>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194"/>
      <c r="AW50" s="194"/>
      <c r="AX50" s="194"/>
      <c r="AY50" s="194"/>
      <c r="AZ50" s="194"/>
      <c r="BA50" s="194"/>
    </row>
    <row r="51" spans="1:212" s="58" customFormat="1" ht="20" customHeight="1" x14ac:dyDescent="0.25">
      <c r="A51" s="183"/>
      <c r="B51" s="176" t="s">
        <v>34</v>
      </c>
      <c r="C51" s="123" t="s">
        <v>8</v>
      </c>
      <c r="D51" s="127"/>
      <c r="E51" s="205"/>
      <c r="F51" s="191"/>
      <c r="G51" s="191"/>
      <c r="H51" s="127"/>
      <c r="I51" s="127"/>
      <c r="J51" s="258">
        <f>(IF(J42=0,0,-(J49/J46))*J42)</f>
        <v>0</v>
      </c>
      <c r="K51" s="258">
        <f t="shared" ref="K51:AU51" si="21">(IF(K42=0,0,-(K49/K46))*K42)</f>
        <v>0</v>
      </c>
      <c r="L51" s="258">
        <f t="shared" si="21"/>
        <v>0</v>
      </c>
      <c r="M51" s="258">
        <f t="shared" si="21"/>
        <v>0</v>
      </c>
      <c r="N51" s="258">
        <f t="shared" si="21"/>
        <v>0</v>
      </c>
      <c r="O51" s="258">
        <f t="shared" si="21"/>
        <v>0</v>
      </c>
      <c r="P51" s="258">
        <f t="shared" si="21"/>
        <v>0</v>
      </c>
      <c r="Q51" s="258">
        <f t="shared" si="21"/>
        <v>0</v>
      </c>
      <c r="R51" s="258">
        <f t="shared" si="21"/>
        <v>0</v>
      </c>
      <c r="S51" s="258">
        <f t="shared" si="21"/>
        <v>0</v>
      </c>
      <c r="T51" s="258">
        <f t="shared" si="21"/>
        <v>0</v>
      </c>
      <c r="U51" s="258">
        <f t="shared" si="21"/>
        <v>0</v>
      </c>
      <c r="V51" s="258">
        <f>(IF(V46=0,0,(-(V49/V46)*V42)))</f>
        <v>-26676.729324000004</v>
      </c>
      <c r="W51" s="258">
        <f t="shared" si="21"/>
        <v>-26676.729324000004</v>
      </c>
      <c r="X51" s="258">
        <f t="shared" si="21"/>
        <v>-26676.729324000004</v>
      </c>
      <c r="Y51" s="258">
        <f t="shared" si="21"/>
        <v>-26676.729324000007</v>
      </c>
      <c r="Z51" s="258">
        <f>(IF(Z42=0,0,-(Z49/Z46))*Z42)</f>
        <v>-26676.729324000007</v>
      </c>
      <c r="AA51" s="258">
        <f t="shared" si="21"/>
        <v>0</v>
      </c>
      <c r="AB51" s="258">
        <f t="shared" si="21"/>
        <v>0</v>
      </c>
      <c r="AC51" s="258">
        <f t="shared" si="21"/>
        <v>0</v>
      </c>
      <c r="AD51" s="258">
        <f t="shared" si="21"/>
        <v>0</v>
      </c>
      <c r="AE51" s="258">
        <f t="shared" si="21"/>
        <v>0</v>
      </c>
      <c r="AF51" s="258">
        <f t="shared" si="21"/>
        <v>0</v>
      </c>
      <c r="AG51" s="258">
        <f t="shared" si="21"/>
        <v>0</v>
      </c>
      <c r="AH51" s="258">
        <f t="shared" si="21"/>
        <v>0</v>
      </c>
      <c r="AI51" s="258">
        <f t="shared" si="21"/>
        <v>0</v>
      </c>
      <c r="AJ51" s="258">
        <f t="shared" si="21"/>
        <v>0</v>
      </c>
      <c r="AK51" s="258">
        <f t="shared" si="21"/>
        <v>0</v>
      </c>
      <c r="AL51" s="258">
        <f t="shared" si="21"/>
        <v>0</v>
      </c>
      <c r="AM51" s="258">
        <f t="shared" si="21"/>
        <v>0</v>
      </c>
      <c r="AN51" s="258">
        <f t="shared" si="21"/>
        <v>0</v>
      </c>
      <c r="AO51" s="258">
        <f t="shared" si="21"/>
        <v>0</v>
      </c>
      <c r="AP51" s="258">
        <f t="shared" si="21"/>
        <v>0</v>
      </c>
      <c r="AQ51" s="258">
        <f t="shared" si="21"/>
        <v>0</v>
      </c>
      <c r="AR51" s="258">
        <f t="shared" si="21"/>
        <v>0</v>
      </c>
      <c r="AS51" s="258">
        <f t="shared" si="21"/>
        <v>0</v>
      </c>
      <c r="AT51" s="258">
        <f t="shared" si="21"/>
        <v>0</v>
      </c>
      <c r="AU51" s="258">
        <f t="shared" si="21"/>
        <v>0</v>
      </c>
      <c r="AV51" s="194"/>
      <c r="AW51" s="194"/>
      <c r="AX51" s="194"/>
      <c r="AY51" s="194"/>
      <c r="AZ51" s="194"/>
      <c r="BA51" s="194"/>
    </row>
    <row r="52" spans="1:212" s="58" customFormat="1" ht="20" customHeight="1" x14ac:dyDescent="0.25">
      <c r="A52" s="183"/>
      <c r="B52" s="180" t="s">
        <v>35</v>
      </c>
      <c r="C52" s="123" t="s">
        <v>8</v>
      </c>
      <c r="D52" s="127"/>
      <c r="E52" s="205"/>
      <c r="F52" s="191"/>
      <c r="G52" s="191"/>
      <c r="H52" s="127"/>
      <c r="I52" s="127"/>
      <c r="J52" s="258">
        <f>SUM(J49:J51)</f>
        <v>66691.823310000007</v>
      </c>
      <c r="K52" s="258">
        <f t="shared" ref="K52:AU52" si="22">SUM(K49:K51)</f>
        <v>133383.64662000001</v>
      </c>
      <c r="L52" s="258">
        <f t="shared" si="22"/>
        <v>133383.64662000001</v>
      </c>
      <c r="M52" s="258">
        <f t="shared" si="22"/>
        <v>133383.64662000001</v>
      </c>
      <c r="N52" s="258">
        <f t="shared" si="22"/>
        <v>133383.64662000001</v>
      </c>
      <c r="O52" s="258">
        <f t="shared" si="22"/>
        <v>133383.64662000001</v>
      </c>
      <c r="P52" s="258">
        <f t="shared" si="22"/>
        <v>133383.64662000001</v>
      </c>
      <c r="Q52" s="258">
        <f t="shared" si="22"/>
        <v>133383.64662000001</v>
      </c>
      <c r="R52" s="258">
        <f t="shared" si="22"/>
        <v>133383.64662000001</v>
      </c>
      <c r="S52" s="258">
        <f t="shared" si="22"/>
        <v>133383.64662000001</v>
      </c>
      <c r="T52" s="258">
        <f t="shared" si="22"/>
        <v>133383.64662000001</v>
      </c>
      <c r="U52" s="258">
        <f t="shared" si="22"/>
        <v>133383.64662000001</v>
      </c>
      <c r="V52" s="258">
        <f t="shared" si="22"/>
        <v>106706.91729600001</v>
      </c>
      <c r="W52" s="258">
        <f t="shared" si="22"/>
        <v>80030.187972000014</v>
      </c>
      <c r="X52" s="258">
        <f t="shared" si="22"/>
        <v>53353.458648000014</v>
      </c>
      <c r="Y52" s="258">
        <f t="shared" si="22"/>
        <v>26676.729324000007</v>
      </c>
      <c r="Z52" s="258">
        <f t="shared" si="22"/>
        <v>0</v>
      </c>
      <c r="AA52" s="258">
        <f>SUM(AA49:AA51)</f>
        <v>0</v>
      </c>
      <c r="AB52" s="258">
        <f t="shared" si="22"/>
        <v>0</v>
      </c>
      <c r="AC52" s="258">
        <f t="shared" si="22"/>
        <v>0</v>
      </c>
      <c r="AD52" s="258">
        <f t="shared" si="22"/>
        <v>0</v>
      </c>
      <c r="AE52" s="258">
        <f t="shared" si="22"/>
        <v>0</v>
      </c>
      <c r="AF52" s="258">
        <f t="shared" si="22"/>
        <v>0</v>
      </c>
      <c r="AG52" s="258">
        <f t="shared" si="22"/>
        <v>0</v>
      </c>
      <c r="AH52" s="258">
        <f t="shared" si="22"/>
        <v>0</v>
      </c>
      <c r="AI52" s="258">
        <f t="shared" si="22"/>
        <v>0</v>
      </c>
      <c r="AJ52" s="258">
        <f t="shared" si="22"/>
        <v>0</v>
      </c>
      <c r="AK52" s="258">
        <f t="shared" si="22"/>
        <v>0</v>
      </c>
      <c r="AL52" s="258">
        <f t="shared" si="22"/>
        <v>0</v>
      </c>
      <c r="AM52" s="258">
        <f t="shared" si="22"/>
        <v>0</v>
      </c>
      <c r="AN52" s="258">
        <f t="shared" si="22"/>
        <v>0</v>
      </c>
      <c r="AO52" s="258">
        <f t="shared" si="22"/>
        <v>0</v>
      </c>
      <c r="AP52" s="258">
        <f t="shared" si="22"/>
        <v>0</v>
      </c>
      <c r="AQ52" s="258">
        <f t="shared" si="22"/>
        <v>0</v>
      </c>
      <c r="AR52" s="258">
        <f t="shared" si="22"/>
        <v>0</v>
      </c>
      <c r="AS52" s="258">
        <f t="shared" si="22"/>
        <v>0</v>
      </c>
      <c r="AT52" s="258">
        <f t="shared" si="22"/>
        <v>0</v>
      </c>
      <c r="AU52" s="258">
        <f t="shared" si="22"/>
        <v>0</v>
      </c>
      <c r="AV52" s="194"/>
      <c r="AW52" s="194"/>
      <c r="AX52" s="194"/>
      <c r="AY52" s="194"/>
      <c r="AZ52" s="194"/>
      <c r="BA52" s="194"/>
    </row>
    <row r="53" spans="1:212" s="58" customFormat="1" ht="20" customHeight="1" x14ac:dyDescent="0.25">
      <c r="A53" s="183"/>
      <c r="B53" s="184" t="s">
        <v>11</v>
      </c>
      <c r="C53" s="123" t="s">
        <v>8</v>
      </c>
      <c r="D53" s="127"/>
      <c r="E53" s="205"/>
      <c r="F53" s="191"/>
      <c r="G53" s="191"/>
      <c r="H53" s="127"/>
      <c r="I53" s="127"/>
      <c r="J53" s="258">
        <f>-AVERAGE(J49,J52)*$E$45</f>
        <v>-1000.37734965</v>
      </c>
      <c r="K53" s="258">
        <f t="shared" ref="K53:AU53" si="23">-AVERAGE(K49,K52)*$E$45</f>
        <v>-3001.1320489500004</v>
      </c>
      <c r="L53" s="258">
        <f t="shared" si="23"/>
        <v>-4001.5093986000002</v>
      </c>
      <c r="M53" s="258">
        <f t="shared" si="23"/>
        <v>-4001.5093986000002</v>
      </c>
      <c r="N53" s="258">
        <f t="shared" si="23"/>
        <v>-4001.5093986000002</v>
      </c>
      <c r="O53" s="258">
        <f t="shared" si="23"/>
        <v>-4001.5093986000002</v>
      </c>
      <c r="P53" s="258">
        <f t="shared" si="23"/>
        <v>-4001.5093986000002</v>
      </c>
      <c r="Q53" s="258">
        <f t="shared" si="23"/>
        <v>-4001.5093986000002</v>
      </c>
      <c r="R53" s="258">
        <f t="shared" si="23"/>
        <v>-4001.5093986000002</v>
      </c>
      <c r="S53" s="258">
        <f t="shared" si="23"/>
        <v>-4001.5093986000002</v>
      </c>
      <c r="T53" s="258">
        <f t="shared" si="23"/>
        <v>-4001.5093986000002</v>
      </c>
      <c r="U53" s="258">
        <f t="shared" si="23"/>
        <v>-4001.5093986000002</v>
      </c>
      <c r="V53" s="258">
        <f t="shared" si="23"/>
        <v>-3601.3584587400001</v>
      </c>
      <c r="W53" s="258">
        <f t="shared" si="23"/>
        <v>-2801.0565790200008</v>
      </c>
      <c r="X53" s="258">
        <f t="shared" si="23"/>
        <v>-2000.7546993000001</v>
      </c>
      <c r="Y53" s="258">
        <f t="shared" si="23"/>
        <v>-1200.4528195800001</v>
      </c>
      <c r="Z53" s="258">
        <f t="shared" si="23"/>
        <v>-400.15093986000011</v>
      </c>
      <c r="AA53" s="258">
        <f t="shared" si="23"/>
        <v>0</v>
      </c>
      <c r="AB53" s="258">
        <f t="shared" si="23"/>
        <v>0</v>
      </c>
      <c r="AC53" s="258">
        <f t="shared" si="23"/>
        <v>0</v>
      </c>
      <c r="AD53" s="258">
        <f t="shared" si="23"/>
        <v>0</v>
      </c>
      <c r="AE53" s="258">
        <f t="shared" si="23"/>
        <v>0</v>
      </c>
      <c r="AF53" s="258">
        <f t="shared" si="23"/>
        <v>0</v>
      </c>
      <c r="AG53" s="258">
        <f t="shared" si="23"/>
        <v>0</v>
      </c>
      <c r="AH53" s="258">
        <f t="shared" si="23"/>
        <v>0</v>
      </c>
      <c r="AI53" s="258">
        <f t="shared" si="23"/>
        <v>0</v>
      </c>
      <c r="AJ53" s="258">
        <f t="shared" si="23"/>
        <v>0</v>
      </c>
      <c r="AK53" s="258">
        <f t="shared" si="23"/>
        <v>0</v>
      </c>
      <c r="AL53" s="258">
        <f t="shared" si="23"/>
        <v>0</v>
      </c>
      <c r="AM53" s="258">
        <f t="shared" si="23"/>
        <v>0</v>
      </c>
      <c r="AN53" s="258">
        <f t="shared" si="23"/>
        <v>0</v>
      </c>
      <c r="AO53" s="258">
        <f t="shared" si="23"/>
        <v>0</v>
      </c>
      <c r="AP53" s="258">
        <f t="shared" si="23"/>
        <v>0</v>
      </c>
      <c r="AQ53" s="258">
        <f t="shared" si="23"/>
        <v>0</v>
      </c>
      <c r="AR53" s="258">
        <f t="shared" si="23"/>
        <v>0</v>
      </c>
      <c r="AS53" s="258">
        <f t="shared" si="23"/>
        <v>0</v>
      </c>
      <c r="AT53" s="258">
        <f t="shared" si="23"/>
        <v>0</v>
      </c>
      <c r="AU53" s="258">
        <f t="shared" si="23"/>
        <v>0</v>
      </c>
      <c r="AV53" s="194"/>
      <c r="AW53" s="194"/>
      <c r="AX53" s="194"/>
      <c r="AY53" s="194"/>
      <c r="AZ53" s="194"/>
      <c r="BA53" s="194"/>
    </row>
    <row r="54" spans="1:212" s="58" customFormat="1" ht="20" customHeight="1" x14ac:dyDescent="0.25">
      <c r="A54" s="183"/>
      <c r="B54" s="184"/>
      <c r="C54" s="123"/>
      <c r="D54" s="127"/>
      <c r="E54" s="205"/>
      <c r="F54" s="191"/>
      <c r="G54" s="191"/>
      <c r="H54" s="127"/>
      <c r="I54" s="127"/>
      <c r="J54" s="258"/>
      <c r="K54" s="258"/>
      <c r="L54" s="258"/>
      <c r="M54" s="258"/>
      <c r="N54" s="258"/>
      <c r="O54" s="258"/>
      <c r="P54" s="258"/>
      <c r="Q54" s="258"/>
      <c r="R54" s="258"/>
      <c r="S54" s="258"/>
      <c r="T54" s="258"/>
      <c r="U54" s="258"/>
      <c r="V54" s="258"/>
      <c r="W54" s="258"/>
      <c r="X54" s="258"/>
      <c r="Y54" s="258"/>
      <c r="Z54" s="258"/>
      <c r="AA54" s="258"/>
      <c r="AB54" s="258"/>
      <c r="AC54" s="258"/>
      <c r="AD54" s="258"/>
      <c r="AE54" s="258"/>
      <c r="AF54" s="258"/>
      <c r="AG54" s="258"/>
      <c r="AH54" s="258"/>
      <c r="AI54" s="258"/>
      <c r="AJ54" s="258"/>
      <c r="AK54" s="258"/>
      <c r="AL54" s="258"/>
      <c r="AM54" s="258"/>
      <c r="AN54" s="258"/>
      <c r="AO54" s="258"/>
      <c r="AP54" s="258"/>
      <c r="AQ54" s="258"/>
      <c r="AR54" s="258"/>
      <c r="AS54" s="258"/>
      <c r="AT54" s="258"/>
      <c r="AU54" s="258"/>
      <c r="AV54" s="194"/>
      <c r="AW54" s="194"/>
      <c r="AX54" s="194"/>
      <c r="AY54" s="194"/>
      <c r="AZ54" s="194"/>
      <c r="BA54" s="194"/>
    </row>
    <row r="55" spans="1:212" s="57" customFormat="1" ht="20" customHeight="1" x14ac:dyDescent="0.25">
      <c r="A55" s="53"/>
      <c r="B55" s="154" t="s">
        <v>12</v>
      </c>
      <c r="C55" s="155"/>
      <c r="D55" s="155"/>
      <c r="E55" s="155"/>
      <c r="F55" s="155"/>
      <c r="G55" s="155"/>
      <c r="H55" s="155"/>
      <c r="I55" s="155"/>
      <c r="J55" s="283">
        <f>IF($F$60=TRUE,(IF(J4&lt;=(ROUNDUP(Pieņēmumi!$D$53,0)+$E$59),(IF(J4&lt;=ROUNDUP(Pieņēmumi!$D$53,0)+$E$61,IF(ROUNDUP(Pieņēmumi!$D$53,0)+$E$61=Finansējums!J4,(Finansējums!J4-Pieņēmumi!$D$53-$E$61),0),IF(J4=($E$59+ROUNDUP(Pieņēmumi!$D$53,0)),(1-(ROUNDUP(Pieņēmumi!$D$53,0)-Pieņēmumi!$D$53)),1))),0)),(IF(J4&lt;=($E$59+ROUNDUP(Pieņēmumi!$D$53,0)),IF(Finansējums!J4&lt;=ROUNDUP(Pieņēmumi!$D$53,0),IF(Finansējums!J4=ROUNDUP(Pieņēmumi!$D$53,0),J4-Pieņēmumi!$D$53,0),IF(J4=($E$59+ROUNDUP(Pieņēmumi!$D$53,0)),(1-(ROUNDUP(Pieņēmumi!$D$53,0)-Pieņēmumi!$D$53)),1)),0)))</f>
        <v>0</v>
      </c>
      <c r="K55" s="283">
        <f>IF($F$60=TRUE,(IF(K4&lt;=(ROUNDUP(Pieņēmumi!$D$53,0)+$E$59),(IF(K4&lt;=ROUNDUP(Pieņēmumi!$D$53,0)+$E$61,IF(ROUNDUP(Pieņēmumi!$D$53,0)+$E$61=Finansējums!K4,(Finansējums!K4-Pieņēmumi!$D$53-$E$61),0),IF(K4=($E$59+ROUNDUP(Pieņēmumi!$D$53,0)),(1-(ROUNDUP(Pieņēmumi!$D$53,0)-Pieņēmumi!$D$53)),1))),0)),(IF(K4&lt;=($E$59+ROUNDUP(Pieņēmumi!$D$53,0)),IF(Finansējums!K4&lt;=ROUNDUP(Pieņēmumi!$D$53,0),IF(Finansējums!K4=ROUNDUP(Pieņēmumi!$D$53,0),K4-Pieņēmumi!$D$53,0),IF(K4=($E$59+ROUNDUP(Pieņēmumi!$D$53,0)),(1-(ROUNDUP(Pieņēmumi!$D$53,0)-Pieņēmumi!$D$53)),1)),0)))</f>
        <v>0</v>
      </c>
      <c r="L55" s="283">
        <f>IF($F$60=TRUE,(IF(L4&lt;=(ROUNDUP(Pieņēmumi!$D$53,0)+$E$59),(IF(L4&lt;=ROUNDUP(Pieņēmumi!$D$53,0)+$E$61,IF(ROUNDUP(Pieņēmumi!$D$53,0)+$E$61=Finansējums!L4,(Finansējums!L4-Pieņēmumi!$D$53-$E$61),0),IF(L4=($E$59+ROUNDUP(Pieņēmumi!$D$53,0)),(1-(ROUNDUP(Pieņēmumi!$D$53,0)-Pieņēmumi!$D$53)),1))),0)),(IF(L4&lt;=($E$59+ROUNDUP(Pieņēmumi!$D$53,0)),IF(Finansējums!L4&lt;=ROUNDUP(Pieņēmumi!$D$53,0),IF(Finansējums!L4=ROUNDUP(Pieņēmumi!$D$53,0),L4-Pieņēmumi!$D$53,0),IF(L4=($E$59+ROUNDUP(Pieņēmumi!$D$53,0)),(1-(ROUNDUP(Pieņēmumi!$D$53,0)-Pieņēmumi!$D$53)),1)),0)))</f>
        <v>0</v>
      </c>
      <c r="M55" s="283">
        <f>IF($F$60=TRUE,(IF(M4&lt;=(ROUNDUP(Pieņēmumi!$D$53,0)+$E$59),(IF(M4&lt;=ROUNDUP(Pieņēmumi!$D$53,0)+$E$61,IF(ROUNDUP(Pieņēmumi!$D$53,0)+$E$61=Finansējums!M4,(Finansējums!M4-Pieņēmumi!$D$53-$E$61),0),IF(M4=($E$59+ROUNDUP(Pieņēmumi!$D$53,0)),(1-(ROUNDUP(Pieņēmumi!$D$53,0)-Pieņēmumi!$D$53)),1))),0)),(IF(M4&lt;=($E$59+ROUNDUP(Pieņēmumi!$D$53,0)),IF(Finansējums!M4&lt;=ROUNDUP(Pieņēmumi!$D$53,0),IF(Finansējums!M4=ROUNDUP(Pieņēmumi!$D$53,0),M4-Pieņēmumi!$D$53,0),IF(M4=($E$59+ROUNDUP(Pieņēmumi!$D$53,0)),(1-(ROUNDUP(Pieņēmumi!$D$53,0)-Pieņēmumi!$D$53)),1)),0)))</f>
        <v>0</v>
      </c>
      <c r="N55" s="283">
        <f>IF($F$60=TRUE,(IF(N4&lt;=(ROUNDUP(Pieņēmumi!$D$53,0)+$E$59),(IF(N4&lt;=ROUNDUP(Pieņēmumi!$D$53,0)+$E$61,IF(ROUNDUP(Pieņēmumi!$D$53,0)+$E$61=Finansējums!N4,(Finansējums!N4-Pieņēmumi!$D$53-$E$61),0),IF(N4=($E$59+ROUNDUP(Pieņēmumi!$D$53,0)),(1-(ROUNDUP(Pieņēmumi!$D$53,0)-Pieņēmumi!$D$53)),1))),0)),(IF(N4&lt;=($E$59+ROUNDUP(Pieņēmumi!$D$53,0)),IF(Finansējums!N4&lt;=ROUNDUP(Pieņēmumi!$D$53,0),IF(Finansējums!N4=ROUNDUP(Pieņēmumi!$D$53,0),N4-Pieņēmumi!$D$53,0),IF(N4=($E$59+ROUNDUP(Pieņēmumi!$D$53,0)),(1-(ROUNDUP(Pieņēmumi!$D$53,0)-Pieņēmumi!$D$53)),1)),0)))</f>
        <v>0</v>
      </c>
      <c r="O55" s="283">
        <f>IF($F$60=TRUE,(IF(O4&lt;=(ROUNDUP(Pieņēmumi!$D$53,0)+$E$59),(IF(O4&lt;=ROUNDUP(Pieņēmumi!$D$53,0)+$E$61,IF(ROUNDUP(Pieņēmumi!$D$53,0)+$E$61=Finansējums!O4,(Finansējums!O4-Pieņēmumi!$D$53-$E$61),0),IF(O4=($E$59+ROUNDUP(Pieņēmumi!$D$53,0)),(1-(ROUNDUP(Pieņēmumi!$D$53,0)-Pieņēmumi!$D$53)),1))),0)),(IF(O4&lt;=($E$59+ROUNDUP(Pieņēmumi!$D$53,0)),IF(Finansējums!O4&lt;=ROUNDUP(Pieņēmumi!$D$53,0),IF(Finansējums!O4=ROUNDUP(Pieņēmumi!$D$53,0),O4-Pieņēmumi!$D$53,0),IF(O4=($E$59+ROUNDUP(Pieņēmumi!$D$53,0)),(1-(ROUNDUP(Pieņēmumi!$D$53,0)-Pieņēmumi!$D$53)),1)),0)))</f>
        <v>0</v>
      </c>
      <c r="P55" s="283">
        <f>IF($F$60=TRUE,(IF(P4&lt;=(ROUNDUP(Pieņēmumi!$D$53,0)+$E$59),(IF(P4&lt;=ROUNDUP(Pieņēmumi!$D$53,0)+$E$61,IF(ROUNDUP(Pieņēmumi!$D$53,0)+$E$61=Finansējums!P4,(Finansējums!P4-Pieņēmumi!$D$53-$E$61),0),IF(P4=($E$59+ROUNDUP(Pieņēmumi!$D$53,0)),(1-(ROUNDUP(Pieņēmumi!$D$53,0)-Pieņēmumi!$D$53)),1))),0)),(IF(P4&lt;=($E$59+ROUNDUP(Pieņēmumi!$D$53,0)),IF(Finansējums!P4&lt;=ROUNDUP(Pieņēmumi!$D$53,0),IF(Finansējums!P4=ROUNDUP(Pieņēmumi!$D$53,0),P4-Pieņēmumi!$D$53,0),IF(P4=($E$59+ROUNDUP(Pieņēmumi!$D$53,0)),(1-(ROUNDUP(Pieņēmumi!$D$53,0)-Pieņēmumi!$D$53)),1)),0)))</f>
        <v>0</v>
      </c>
      <c r="Q55" s="283">
        <f>IF($F$60=TRUE,(IF(Q4&lt;=(ROUNDUP(Pieņēmumi!$D$53,0)+$E$59),(IF(Q4&lt;=ROUNDUP(Pieņēmumi!$D$53,0)+$E$61,IF(ROUNDUP(Pieņēmumi!$D$53,0)+$E$61=Finansējums!Q4,(Finansējums!Q4-Pieņēmumi!$D$53-$E$61),0),IF(Q4=($E$59+ROUNDUP(Pieņēmumi!$D$53,0)),(1-(ROUNDUP(Pieņēmumi!$D$53,0)-Pieņēmumi!$D$53)),1))),0)),(IF(Q4&lt;=($E$59+ROUNDUP(Pieņēmumi!$D$53,0)),IF(Finansējums!Q4&lt;=ROUNDUP(Pieņēmumi!$D$53,0),IF(Finansējums!Q4=ROUNDUP(Pieņēmumi!$D$53,0),Q4-Pieņēmumi!$D$53,0),IF(Q4=($E$59+ROUNDUP(Pieņēmumi!$D$53,0)),(1-(ROUNDUP(Pieņēmumi!$D$53,0)-Pieņēmumi!$D$53)),1)),0)))</f>
        <v>1</v>
      </c>
      <c r="R55" s="283">
        <f>IF($F$60=TRUE,(IF(R4&lt;=(ROUNDUP(Pieņēmumi!$D$53,0)+$E$59),(IF(R4&lt;=ROUNDUP(Pieņēmumi!$D$53,0)+$E$61,IF(ROUNDUP(Pieņēmumi!$D$53,0)+$E$61=Finansējums!R4,(Finansējums!R4-Pieņēmumi!$D$53-$E$61),0),IF(R4=($E$59+ROUNDUP(Pieņēmumi!$D$53,0)),(1-(ROUNDUP(Pieņēmumi!$D$53,0)-Pieņēmumi!$D$53)),1))),0)),(IF(R4&lt;=($E$59+ROUNDUP(Pieņēmumi!$D$53,0)),IF(Finansējums!R4&lt;=ROUNDUP(Pieņēmumi!$D$53,0),IF(Finansējums!R4=ROUNDUP(Pieņēmumi!$D$53,0),R4-Pieņēmumi!$D$53,0),IF(R4=($E$59+ROUNDUP(Pieņēmumi!$D$53,0)),(1-(ROUNDUP(Pieņēmumi!$D$53,0)-Pieņēmumi!$D$53)),1)),0)))</f>
        <v>1</v>
      </c>
      <c r="S55" s="283">
        <f>IF($F$60=TRUE,(IF(S4&lt;=(ROUNDUP(Pieņēmumi!$D$53,0)+$E$59),(IF(S4&lt;=ROUNDUP(Pieņēmumi!$D$53,0)+$E$61,IF(ROUNDUP(Pieņēmumi!$D$53,0)+$E$61=Finansējums!S4,(Finansējums!S4-Pieņēmumi!$D$53-$E$61),0),IF(S4=($E$59+ROUNDUP(Pieņēmumi!$D$53,0)),(1-(ROUNDUP(Pieņēmumi!$D$53,0)-Pieņēmumi!$D$53)),1))),0)),(IF(S4&lt;=($E$59+ROUNDUP(Pieņēmumi!$D$53,0)),IF(Finansējums!S4&lt;=ROUNDUP(Pieņēmumi!$D$53,0),IF(Finansējums!S4=ROUNDUP(Pieņēmumi!$D$53,0),S4-Pieņēmumi!$D$53,0),IF(S4=($E$59+ROUNDUP(Pieņēmumi!$D$53,0)),(1-(ROUNDUP(Pieņēmumi!$D$53,0)-Pieņēmumi!$D$53)),1)),0)))</f>
        <v>1</v>
      </c>
      <c r="T55" s="283">
        <f>IF($F$60=TRUE,(IF(T4&lt;=(ROUNDUP(Pieņēmumi!$D$53,0)+$E$59),(IF(T4&lt;=ROUNDUP(Pieņēmumi!$D$53,0)+$E$61,IF(ROUNDUP(Pieņēmumi!$D$53,0)+$E$61=Finansējums!T4,(Finansējums!T4-Pieņēmumi!$D$53-$E$61),0),IF(T4=($E$59+ROUNDUP(Pieņēmumi!$D$53,0)),(1-(ROUNDUP(Pieņēmumi!$D$53,0)-Pieņēmumi!$D$53)),1))),0)),(IF(T4&lt;=($E$59+ROUNDUP(Pieņēmumi!$D$53,0)),IF(Finansējums!T4&lt;=ROUNDUP(Pieņēmumi!$D$53,0),IF(Finansējums!T4=ROUNDUP(Pieņēmumi!$D$53,0),T4-Pieņēmumi!$D$53,0),IF(T4=($E$59+ROUNDUP(Pieņēmumi!$D$53,0)),(1-(ROUNDUP(Pieņēmumi!$D$53,0)-Pieņēmumi!$D$53)),1)),0)))</f>
        <v>1</v>
      </c>
      <c r="U55" s="283">
        <f>IF($F$60=TRUE,(IF(U4&lt;=(ROUNDUP(Pieņēmumi!$D$53,0)+$E$59),(IF(U4&lt;=ROUNDUP(Pieņēmumi!$D$53,0)+$E$61,IF(ROUNDUP(Pieņēmumi!$D$53,0)+$E$61=Finansējums!U4,(Finansējums!U4-Pieņēmumi!$D$53-$E$61),0),IF(U4=($E$59+ROUNDUP(Pieņēmumi!$D$53,0)),(1-(ROUNDUP(Pieņēmumi!$D$53,0)-Pieņēmumi!$D$53)),1))),0)),(IF(U4&lt;=($E$59+ROUNDUP(Pieņēmumi!$D$53,0)),IF(Finansējums!U4&lt;=ROUNDUP(Pieņēmumi!$D$53,0),IF(Finansējums!U4=ROUNDUP(Pieņēmumi!$D$53,0),U4-Pieņēmumi!$D$53,0),IF(U4=($E$59+ROUNDUP(Pieņēmumi!$D$53,0)),(1-(ROUNDUP(Pieņēmumi!$D$53,0)-Pieņēmumi!$D$53)),1)),0)))</f>
        <v>1</v>
      </c>
      <c r="V55" s="283">
        <f>IF($F$60=TRUE,(IF(V4&lt;=(ROUNDUP(Pieņēmumi!$D$53,0)+$E$59),(IF(V4&lt;=ROUNDUP(Pieņēmumi!$D$53,0)+$E$61,IF(ROUNDUP(Pieņēmumi!$D$53,0)+$E$61=Finansējums!V4,(Finansējums!V4-Pieņēmumi!$D$53-$E$61),0),IF(V4=($E$59+ROUNDUP(Pieņēmumi!$D$53,0)),(1-(ROUNDUP(Pieņēmumi!$D$53,0)-Pieņēmumi!$D$53)),1))),0)),(IF(V4&lt;=($E$59+ROUNDUP(Pieņēmumi!$D$53,0)),IF(Finansējums!V4&lt;=ROUNDUP(Pieņēmumi!$D$53,0),IF(Finansējums!V4=ROUNDUP(Pieņēmumi!$D$53,0),V4-Pieņēmumi!$D$53,0),IF(V4=($E$59+ROUNDUP(Pieņēmumi!$D$53,0)),(1-(ROUNDUP(Pieņēmumi!$D$53,0)-Pieņēmumi!$D$53)),1)),0)))</f>
        <v>1</v>
      </c>
      <c r="W55" s="283">
        <f>IF($F$60=TRUE,(IF(W4&lt;=(ROUNDUP(Pieņēmumi!$D$53,0)+$E$59),(IF(W4&lt;=ROUNDUP(Pieņēmumi!$D$53,0)+$E$61,IF(ROUNDUP(Pieņēmumi!$D$53,0)+$E$61=Finansējums!W4,(Finansējums!W4-Pieņēmumi!$D$53-$E$61),0),IF(W4=($E$59+ROUNDUP(Pieņēmumi!$D$53,0)),(1-(ROUNDUP(Pieņēmumi!$D$53,0)-Pieņēmumi!$D$53)),1))),0)),(IF(W4&lt;=($E$59+ROUNDUP(Pieņēmumi!$D$53,0)),IF(Finansējums!W4&lt;=ROUNDUP(Pieņēmumi!$D$53,0),IF(Finansējums!W4=ROUNDUP(Pieņēmumi!$D$53,0),W4-Pieņēmumi!$D$53,0),IF(W4=($E$59+ROUNDUP(Pieņēmumi!$D$53,0)),(1-(ROUNDUP(Pieņēmumi!$D$53,0)-Pieņēmumi!$D$53)),1)),0)))</f>
        <v>1</v>
      </c>
      <c r="X55" s="283">
        <f>IF($F$60=TRUE,(IF(X4&lt;=(ROUNDUP(Pieņēmumi!$D$53,0)+$E$59),(IF(X4&lt;=ROUNDUP(Pieņēmumi!$D$53,0)+$E$61,IF(ROUNDUP(Pieņēmumi!$D$53,0)+$E$61=Finansējums!X4,(Finansējums!X4-Pieņēmumi!$D$53-$E$61),0),IF(X4=($E$59+ROUNDUP(Pieņēmumi!$D$53,0)),(1-(ROUNDUP(Pieņēmumi!$D$53,0)-Pieņēmumi!$D$53)),1))),0)),(IF(X4&lt;=($E$59+ROUNDUP(Pieņēmumi!$D$53,0)),IF(Finansējums!X4&lt;=ROUNDUP(Pieņēmumi!$D$53,0),IF(Finansējums!X4=ROUNDUP(Pieņēmumi!$D$53,0),X4-Pieņēmumi!$D$53,0),IF(X4=($E$59+ROUNDUP(Pieņēmumi!$D$53,0)),(1-(ROUNDUP(Pieņēmumi!$D$53,0)-Pieņēmumi!$D$53)),1)),0)))</f>
        <v>1</v>
      </c>
      <c r="Y55" s="283">
        <f>IF($F$60=TRUE,(IF(Y4&lt;=(ROUNDUP(Pieņēmumi!$D$53,0)+$E$59),(IF(Y4&lt;=ROUNDUP(Pieņēmumi!$D$53,0)+$E$61,IF(ROUNDUP(Pieņēmumi!$D$53,0)+$E$61=Finansējums!Y4,(Finansējums!Y4-Pieņēmumi!$D$53-$E$61),0),IF(Y4=($E$59+ROUNDUP(Pieņēmumi!$D$53,0)),(1-(ROUNDUP(Pieņēmumi!$D$53,0)-Pieņēmumi!$D$53)),1))),0)),(IF(Y4&lt;=($E$59+ROUNDUP(Pieņēmumi!$D$53,0)),IF(Finansējums!Y4&lt;=ROUNDUP(Pieņēmumi!$D$53,0),IF(Finansējums!Y4=ROUNDUP(Pieņēmumi!$D$53,0),Y4-Pieņēmumi!$D$53,0),IF(Y4=($E$59+ROUNDUP(Pieņēmumi!$D$53,0)),(1-(ROUNDUP(Pieņēmumi!$D$53,0)-Pieņēmumi!$D$53)),1)),0)))</f>
        <v>1</v>
      </c>
      <c r="Z55" s="283">
        <f>IF($F$60=TRUE,(IF(Z4&lt;=(ROUNDUP(Pieņēmumi!$D$53,0)+$E$59),(IF(Z4&lt;=ROUNDUP(Pieņēmumi!$D$53,0)+$E$61,IF(ROUNDUP(Pieņēmumi!$D$53,0)+$E$61=Finansējums!Z4,(Finansējums!Z4-Pieņēmumi!$D$53-$E$61),0),IF(Z4=($E$59+ROUNDUP(Pieņēmumi!$D$53,0)),(1-(ROUNDUP(Pieņēmumi!$D$53,0)-Pieņēmumi!$D$53)),1))),0)),(IF(Z4&lt;=($E$59+ROUNDUP(Pieņēmumi!$D$53,0)),IF(Finansējums!Z4&lt;=ROUNDUP(Pieņēmumi!$D$53,0),IF(Finansējums!Z4=ROUNDUP(Pieņēmumi!$D$53,0),Z4-Pieņēmumi!$D$53,0),IF(Z4=($E$59+ROUNDUP(Pieņēmumi!$D$53,0)),(1-(ROUNDUP(Pieņēmumi!$D$53,0)-Pieņēmumi!$D$53)),1)),0)))</f>
        <v>1</v>
      </c>
      <c r="AA55" s="283">
        <f>IF($F$60=TRUE,(IF(AA4&lt;=(ROUNDUP(Pieņēmumi!$D$53,0)+$E$59),(IF(AA4&lt;=ROUNDUP(Pieņēmumi!$D$53,0)+$E$61,IF(ROUNDUP(Pieņēmumi!$D$53,0)+$E$61=Finansējums!AA4,(Finansējums!AA4-Pieņēmumi!$D$53-$E$61),0),IF(AA4=($E$59+ROUNDUP(Pieņēmumi!$D$53,0)),(1-(ROUNDUP(Pieņēmumi!$D$53,0)-Pieņēmumi!$D$53)),1))),0)),(IF(AA4&lt;=($E$59+ROUNDUP(Pieņēmumi!$D$53,0)),IF(Finansējums!AA4&lt;=ROUNDUP(Pieņēmumi!$D$53,0),IF(Finansējums!AA4=ROUNDUP(Pieņēmumi!$D$53,0),AA4-Pieņēmumi!$D$53,0),IF(AA4=($E$59+ROUNDUP(Pieņēmumi!$D$53,0)),(1-(ROUNDUP(Pieņēmumi!$D$53,0)-Pieņēmumi!$D$53)),1)),0)))</f>
        <v>0</v>
      </c>
      <c r="AB55" s="283">
        <f>IF($F$60=TRUE,(IF(AB4&lt;=(ROUNDUP(Pieņēmumi!$D$53,0)+$E$59),(IF(AB4&lt;=ROUNDUP(Pieņēmumi!$D$53,0)+$E$61,IF(ROUNDUP(Pieņēmumi!$D$53,0)+$E$61=Finansējums!AB4,(Finansējums!AB4-Pieņēmumi!$D$53-$E$61),0),IF(AB4=($E$59+ROUNDUP(Pieņēmumi!$D$53,0)),(1-(ROUNDUP(Pieņēmumi!$D$53,0)-Pieņēmumi!$D$53)),1))),0)),(IF(AB4&lt;=($E$59+ROUNDUP(Pieņēmumi!$D$53,0)),IF(Finansējums!AB4&lt;=ROUNDUP(Pieņēmumi!$D$53,0),IF(Finansējums!AB4=ROUNDUP(Pieņēmumi!$D$53,0),AB4-Pieņēmumi!$D$53,0),IF(AB4=($E$59+ROUNDUP(Pieņēmumi!$D$53,0)),(1-(ROUNDUP(Pieņēmumi!$D$53,0)-Pieņēmumi!$D$53)),1)),0)))</f>
        <v>0</v>
      </c>
      <c r="AC55" s="283">
        <f>IF($F$60=TRUE,(IF(AC4&lt;=(ROUNDUP(Pieņēmumi!$D$53,0)+$E$59),(IF(AC4&lt;=ROUNDUP(Pieņēmumi!$D$53,0)+$E$61,IF(ROUNDUP(Pieņēmumi!$D$53,0)+$E$61=Finansējums!AC4,(Finansējums!AC4-Pieņēmumi!$D$53-$E$61),0),IF(AC4=($E$59+ROUNDUP(Pieņēmumi!$D$53,0)),(1-(ROUNDUP(Pieņēmumi!$D$53,0)-Pieņēmumi!$D$53)),1))),0)),(IF(AC4&lt;=($E$59+ROUNDUP(Pieņēmumi!$D$53,0)),IF(Finansējums!AC4&lt;=ROUNDUP(Pieņēmumi!$D$53,0),IF(Finansējums!AC4=ROUNDUP(Pieņēmumi!$D$53,0),AC4-Pieņēmumi!$D$53,0),IF(AC4=($E$59+ROUNDUP(Pieņēmumi!$D$53,0)),(1-(ROUNDUP(Pieņēmumi!$D$53,0)-Pieņēmumi!$D$53)),1)),0)))</f>
        <v>0</v>
      </c>
      <c r="AD55" s="283">
        <f>IF($F$60=TRUE,(IF(AD4&lt;=(ROUNDUP(Pieņēmumi!$D$53,0)+$E$59),(IF(AD4&lt;=ROUNDUP(Pieņēmumi!$D$53,0)+$E$61,IF(ROUNDUP(Pieņēmumi!$D$53,0)+$E$61=Finansējums!AD4,(Finansējums!AD4-Pieņēmumi!$D$53-$E$61),0),IF(AD4=($E$59+ROUNDUP(Pieņēmumi!$D$53,0)),(1-(ROUNDUP(Pieņēmumi!$D$53,0)-Pieņēmumi!$D$53)),1))),0)),(IF(AD4&lt;=($E$59+ROUNDUP(Pieņēmumi!$D$53,0)),IF(Finansējums!AD4&lt;=ROUNDUP(Pieņēmumi!$D$53,0),IF(Finansējums!AD4=ROUNDUP(Pieņēmumi!$D$53,0),AD4-Pieņēmumi!$D$53,0),IF(AD4=($E$59+ROUNDUP(Pieņēmumi!$D$53,0)),(1-(ROUNDUP(Pieņēmumi!$D$53,0)-Pieņēmumi!$D$53)),1)),0)))</f>
        <v>0</v>
      </c>
      <c r="AE55" s="283">
        <f>IF($F$60=TRUE,(IF(AE4&lt;=(ROUNDUP(Pieņēmumi!$D$53,0)+$E$59),(IF(AE4&lt;=ROUNDUP(Pieņēmumi!$D$53,0)+$E$61,IF(ROUNDUP(Pieņēmumi!$D$53,0)+$E$61=Finansējums!AE4,(Finansējums!AE4-Pieņēmumi!$D$53-$E$61),0),IF(AE4=($E$59+ROUNDUP(Pieņēmumi!$D$53,0)),(1-(ROUNDUP(Pieņēmumi!$D$53,0)-Pieņēmumi!$D$53)),1))),0)),(IF(AE4&lt;=($E$59+ROUNDUP(Pieņēmumi!$D$53,0)),IF(Finansējums!AE4&lt;=ROUNDUP(Pieņēmumi!$D$53,0),IF(Finansējums!AE4=ROUNDUP(Pieņēmumi!$D$53,0),AE4-Pieņēmumi!$D$53,0),IF(AE4=($E$59+ROUNDUP(Pieņēmumi!$D$53,0)),(1-(ROUNDUP(Pieņēmumi!$D$53,0)-Pieņēmumi!$D$53)),1)),0)))</f>
        <v>0</v>
      </c>
      <c r="AF55" s="283">
        <f>IF($F$60=TRUE,(IF(AF4&lt;=(ROUNDUP(Pieņēmumi!$D$53,0)+$E$59),(IF(AF4&lt;=ROUNDUP(Pieņēmumi!$D$53,0)+$E$61,IF(ROUNDUP(Pieņēmumi!$D$53,0)+$E$61=Finansējums!AF4,(Finansējums!AF4-Pieņēmumi!$D$53-$E$61),0),IF(AF4=($E$59+ROUNDUP(Pieņēmumi!$D$53,0)),(1-(ROUNDUP(Pieņēmumi!$D$53,0)-Pieņēmumi!$D$53)),1))),0)),(IF(AF4&lt;=($E$59+ROUNDUP(Pieņēmumi!$D$53,0)),IF(Finansējums!AF4&lt;=ROUNDUP(Pieņēmumi!$D$53,0),IF(Finansējums!AF4=ROUNDUP(Pieņēmumi!$D$53,0),AF4-Pieņēmumi!$D$53,0),IF(AF4=($E$59+ROUNDUP(Pieņēmumi!$D$53,0)),(1-(ROUNDUP(Pieņēmumi!$D$53,0)-Pieņēmumi!$D$53)),1)),0)))</f>
        <v>0</v>
      </c>
      <c r="AG55" s="283">
        <f>IF($F$60=TRUE,(IF(AG4&lt;=(ROUNDUP(Pieņēmumi!$D$53,0)+$E$59),(IF(AG4&lt;=ROUNDUP(Pieņēmumi!$D$53,0)+$E$61,IF(ROUNDUP(Pieņēmumi!$D$53,0)+$E$61=Finansējums!AG4,(Finansējums!AG4-Pieņēmumi!$D$53-$E$61),0),IF(AG4=($E$59+ROUNDUP(Pieņēmumi!$D$53,0)),(1-(ROUNDUP(Pieņēmumi!$D$53,0)-Pieņēmumi!$D$53)),1))),0)),(IF(AG4&lt;=($E$59+ROUNDUP(Pieņēmumi!$D$53,0)),IF(Finansējums!AG4&lt;=ROUNDUP(Pieņēmumi!$D$53,0),IF(Finansējums!AG4=ROUNDUP(Pieņēmumi!$D$53,0),AG4-Pieņēmumi!$D$53,0),IF(AG4=($E$59+ROUNDUP(Pieņēmumi!$D$53,0)),(1-(ROUNDUP(Pieņēmumi!$D$53,0)-Pieņēmumi!$D$53)),1)),0)))</f>
        <v>0</v>
      </c>
      <c r="AH55" s="283">
        <f>IF($F$60=TRUE,(IF(AH4&lt;=(ROUNDUP(Pieņēmumi!$D$53,0)+$E$59),(IF(AH4&lt;=ROUNDUP(Pieņēmumi!$D$53,0)+$E$61,IF(ROUNDUP(Pieņēmumi!$D$53,0)+$E$61=Finansējums!AH4,(Finansējums!AH4-Pieņēmumi!$D$53-$E$61),0),IF(AH4=($E$59+ROUNDUP(Pieņēmumi!$D$53,0)),(1-(ROUNDUP(Pieņēmumi!$D$53,0)-Pieņēmumi!$D$53)),1))),0)),(IF(AH4&lt;=($E$59+ROUNDUP(Pieņēmumi!$D$53,0)),IF(Finansējums!AH4&lt;=ROUNDUP(Pieņēmumi!$D$53,0),IF(Finansējums!AH4=ROUNDUP(Pieņēmumi!$D$53,0),AH4-Pieņēmumi!$D$53,0),IF(AH4=($E$59+ROUNDUP(Pieņēmumi!$D$53,0)),(1-(ROUNDUP(Pieņēmumi!$D$53,0)-Pieņēmumi!$D$53)),1)),0)))</f>
        <v>0</v>
      </c>
      <c r="AI55" s="283">
        <f>IF($F$60=TRUE,(IF(AI4&lt;=(ROUNDUP(Pieņēmumi!$D$53,0)+$E$59),(IF(AI4&lt;=ROUNDUP(Pieņēmumi!$D$53,0)+$E$61,IF(ROUNDUP(Pieņēmumi!$D$53,0)+$E$61=Finansējums!AI4,(Finansējums!AI4-Pieņēmumi!$D$53-$E$61),0),IF(AI4=($E$59+ROUNDUP(Pieņēmumi!$D$53,0)),(1-(ROUNDUP(Pieņēmumi!$D$53,0)-Pieņēmumi!$D$53)),1))),0)),(IF(AI4&lt;=($E$59+ROUNDUP(Pieņēmumi!$D$53,0)),IF(Finansējums!AI4&lt;=ROUNDUP(Pieņēmumi!$D$53,0),IF(Finansējums!AI4=ROUNDUP(Pieņēmumi!$D$53,0),AI4-Pieņēmumi!$D$53,0),IF(AI4=($E$59+ROUNDUP(Pieņēmumi!$D$53,0)),(1-(ROUNDUP(Pieņēmumi!$D$53,0)-Pieņēmumi!$D$53)),1)),0)))</f>
        <v>0</v>
      </c>
      <c r="AJ55" s="283">
        <f>IF($F$60=TRUE,(IF(AJ4&lt;=(ROUNDUP(Pieņēmumi!$D$53,0)+$E$59),(IF(AJ4&lt;=ROUNDUP(Pieņēmumi!$D$53,0)+$E$61,IF(ROUNDUP(Pieņēmumi!$D$53,0)+$E$61=Finansējums!AJ4,(Finansējums!AJ4-Pieņēmumi!$D$53-$E$61),0),IF(AJ4=($E$59+ROUNDUP(Pieņēmumi!$D$53,0)),(1-(ROUNDUP(Pieņēmumi!$D$53,0)-Pieņēmumi!$D$53)),1))),0)),(IF(AJ4&lt;=($E$59+ROUNDUP(Pieņēmumi!$D$53,0)),IF(Finansējums!AJ4&lt;=ROUNDUP(Pieņēmumi!$D$53,0),IF(Finansējums!AJ4=ROUNDUP(Pieņēmumi!$D$53,0),AJ4-Pieņēmumi!$D$53,0),IF(AJ4=($E$59+ROUNDUP(Pieņēmumi!$D$53,0)),(1-(ROUNDUP(Pieņēmumi!$D$53,0)-Pieņēmumi!$D$53)),1)),0)))</f>
        <v>0</v>
      </c>
      <c r="AK55" s="283">
        <f>IF($F$60=TRUE,(IF(AK4&lt;=(ROUNDUP(Pieņēmumi!$D$53,0)+$E$59),(IF(AK4&lt;=ROUNDUP(Pieņēmumi!$D$53,0)+$E$61,IF(ROUNDUP(Pieņēmumi!$D$53,0)+$E$61=Finansējums!AK4,(Finansējums!AK4-Pieņēmumi!$D$53-$E$61),0),IF(AK4=($E$59+ROUNDUP(Pieņēmumi!$D$53,0)),(1-(ROUNDUP(Pieņēmumi!$D$53,0)-Pieņēmumi!$D$53)),1))),0)),(IF(AK4&lt;=($E$59+ROUNDUP(Pieņēmumi!$D$53,0)),IF(Finansējums!AK4&lt;=ROUNDUP(Pieņēmumi!$D$53,0),IF(Finansējums!AK4=ROUNDUP(Pieņēmumi!$D$53,0),AK4-Pieņēmumi!$D$53,0),IF(AK4=($E$59+ROUNDUP(Pieņēmumi!$D$53,0)),(1-(ROUNDUP(Pieņēmumi!$D$53,0)-Pieņēmumi!$D$53)),1)),0)))</f>
        <v>0</v>
      </c>
      <c r="AL55" s="283">
        <f>IF($F$60=TRUE,(IF(AL4&lt;=(ROUNDUP(Pieņēmumi!$D$53,0)+$E$59),(IF(AL4&lt;=ROUNDUP(Pieņēmumi!$D$53,0)+$E$61,IF(ROUNDUP(Pieņēmumi!$D$53,0)+$E$61=Finansējums!AL4,(Finansējums!AL4-Pieņēmumi!$D$53-$E$61),0),IF(AL4=($E$59+ROUNDUP(Pieņēmumi!$D$53,0)),(1-(ROUNDUP(Pieņēmumi!$D$53,0)-Pieņēmumi!$D$53)),1))),0)),(IF(AL4&lt;=($E$59+ROUNDUP(Pieņēmumi!$D$53,0)),IF(Finansējums!AL4&lt;=ROUNDUP(Pieņēmumi!$D$53,0),IF(Finansējums!AL4=ROUNDUP(Pieņēmumi!$D$53,0),AL4-Pieņēmumi!$D$53,0),IF(AL4=($E$59+ROUNDUP(Pieņēmumi!$D$53,0)),(1-(ROUNDUP(Pieņēmumi!$D$53,0)-Pieņēmumi!$D$53)),1)),0)))</f>
        <v>0</v>
      </c>
      <c r="AM55" s="283">
        <f>IF($F$60=TRUE,(IF(AM4&lt;=(ROUNDUP(Pieņēmumi!$D$53,0)+$E$59),(IF(AM4&lt;=ROUNDUP(Pieņēmumi!$D$53,0)+$E$61,IF(ROUNDUP(Pieņēmumi!$D$53,0)+$E$61=Finansējums!AM4,(Finansējums!AM4-Pieņēmumi!$D$53-$E$61),0),IF(AM4=($E$59+ROUNDUP(Pieņēmumi!$D$53,0)),(1-(ROUNDUP(Pieņēmumi!$D$53,0)-Pieņēmumi!$D$53)),1))),0)),(IF(AM4&lt;=($E$59+ROUNDUP(Pieņēmumi!$D$53,0)),IF(Finansējums!AM4&lt;=ROUNDUP(Pieņēmumi!$D$53,0),IF(Finansējums!AM4=ROUNDUP(Pieņēmumi!$D$53,0),AM4-Pieņēmumi!$D$53,0),IF(AM4=($E$59+ROUNDUP(Pieņēmumi!$D$53,0)),(1-(ROUNDUP(Pieņēmumi!$D$53,0)-Pieņēmumi!$D$53)),1)),0)))</f>
        <v>0</v>
      </c>
      <c r="AN55" s="283">
        <f>IF($F$60=TRUE,(IF(AN4&lt;=(ROUNDUP(Pieņēmumi!$D$53,0)+$E$59),(IF(AN4&lt;=ROUNDUP(Pieņēmumi!$D$53,0)+$E$61,IF(ROUNDUP(Pieņēmumi!$D$53,0)+$E$61=Finansējums!AN4,(Finansējums!AN4-Pieņēmumi!$D$53-$E$61),0),IF(AN4=($E$59+ROUNDUP(Pieņēmumi!$D$53,0)),(1-(ROUNDUP(Pieņēmumi!$D$53,0)-Pieņēmumi!$D$53)),1))),0)),(IF(AN4&lt;=($E$59+ROUNDUP(Pieņēmumi!$D$53,0)),IF(Finansējums!AN4&lt;=ROUNDUP(Pieņēmumi!$D$53,0),IF(Finansējums!AN4=ROUNDUP(Pieņēmumi!$D$53,0),AN4-Pieņēmumi!$D$53,0),IF(AN4=($E$59+ROUNDUP(Pieņēmumi!$D$53,0)),(1-(ROUNDUP(Pieņēmumi!$D$53,0)-Pieņēmumi!$D$53)),1)),0)))</f>
        <v>0</v>
      </c>
      <c r="AO55" s="283">
        <f>IF($F$60=TRUE,(IF(AO4&lt;=(ROUNDUP(Pieņēmumi!$D$53,0)+$E$59),(IF(AO4&lt;=ROUNDUP(Pieņēmumi!$D$53,0)+$E$61,IF(ROUNDUP(Pieņēmumi!$D$53,0)+$E$61=Finansējums!AO4,(Finansējums!AO4-Pieņēmumi!$D$53-$E$61),0),IF(AO4=($E$59+ROUNDUP(Pieņēmumi!$D$53,0)),(1-(ROUNDUP(Pieņēmumi!$D$53,0)-Pieņēmumi!$D$53)),1))),0)),(IF(AO4&lt;=($E$59+ROUNDUP(Pieņēmumi!$D$53,0)),IF(Finansējums!AO4&lt;=ROUNDUP(Pieņēmumi!$D$53,0),IF(Finansējums!AO4=ROUNDUP(Pieņēmumi!$D$53,0),AO4-Pieņēmumi!$D$53,0),IF(AO4=($E$59+ROUNDUP(Pieņēmumi!$D$53,0)),(1-(ROUNDUP(Pieņēmumi!$D$53,0)-Pieņēmumi!$D$53)),1)),0)))</f>
        <v>0</v>
      </c>
      <c r="AP55" s="283">
        <f>IF($F$60=TRUE,(IF(AP4&lt;=(ROUNDUP(Pieņēmumi!$D$53,0)+$E$59),(IF(AP4&lt;=ROUNDUP(Pieņēmumi!$D$53,0)+$E$61,IF(ROUNDUP(Pieņēmumi!$D$53,0)+$E$61=Finansējums!AP4,(Finansējums!AP4-Pieņēmumi!$D$53-$E$61),0),IF(AP4=($E$59+ROUNDUP(Pieņēmumi!$D$53,0)),(1-(ROUNDUP(Pieņēmumi!$D$53,0)-Pieņēmumi!$D$53)),1))),0)),(IF(AP4&lt;=($E$59+ROUNDUP(Pieņēmumi!$D$53,0)),IF(Finansējums!AP4&lt;=ROUNDUP(Pieņēmumi!$D$53,0),IF(Finansējums!AP4=ROUNDUP(Pieņēmumi!$D$53,0),AP4-Pieņēmumi!$D$53,0),IF(AP4=($E$59+ROUNDUP(Pieņēmumi!$D$53,0)),(1-(ROUNDUP(Pieņēmumi!$D$53,0)-Pieņēmumi!$D$53)),1)),0)))</f>
        <v>0</v>
      </c>
      <c r="AQ55" s="283">
        <f>IF($F$60=TRUE,(IF(AQ4&lt;=(ROUNDUP(Pieņēmumi!$D$53,0)+$E$59),(IF(AQ4&lt;=ROUNDUP(Pieņēmumi!$D$53,0)+$E$61,IF(ROUNDUP(Pieņēmumi!$D$53,0)+$E$61=Finansējums!AQ4,(Finansējums!AQ4-Pieņēmumi!$D$53-$E$61),0),IF(AQ4=($E$59+ROUNDUP(Pieņēmumi!$D$53,0)),(1-(ROUNDUP(Pieņēmumi!$D$53,0)-Pieņēmumi!$D$53)),1))),0)),(IF(AQ4&lt;=($E$59+ROUNDUP(Pieņēmumi!$D$53,0)),IF(Finansējums!AQ4&lt;=ROUNDUP(Pieņēmumi!$D$53,0),IF(Finansējums!AQ4=ROUNDUP(Pieņēmumi!$D$53,0),AQ4-Pieņēmumi!$D$53,0),IF(AQ4=($E$59+ROUNDUP(Pieņēmumi!$D$53,0)),(1-(ROUNDUP(Pieņēmumi!$D$53,0)-Pieņēmumi!$D$53)),1)),0)))</f>
        <v>0</v>
      </c>
      <c r="AR55" s="283">
        <f>IF($F$60=TRUE,(IF(AR4&lt;=(ROUNDUP(Pieņēmumi!$D$53,0)+$E$59),(IF(AR4&lt;=ROUNDUP(Pieņēmumi!$D$53,0)+$E$61,IF(ROUNDUP(Pieņēmumi!$D$53,0)+$E$61=Finansējums!AR4,(Finansējums!AR4-Pieņēmumi!$D$53-$E$61),0),IF(AR4=($E$59+ROUNDUP(Pieņēmumi!$D$53,0)),(1-(ROUNDUP(Pieņēmumi!$D$53,0)-Pieņēmumi!$D$53)),1))),0)),(IF(AR4&lt;=($E$59+ROUNDUP(Pieņēmumi!$D$53,0)),IF(Finansējums!AR4&lt;=ROUNDUP(Pieņēmumi!$D$53,0),IF(Finansējums!AR4=ROUNDUP(Pieņēmumi!$D$53,0),AR4-Pieņēmumi!$D$53,0),IF(AR4=($E$59+ROUNDUP(Pieņēmumi!$D$53,0)),(1-(ROUNDUP(Pieņēmumi!$D$53,0)-Pieņēmumi!$D$53)),1)),0)))</f>
        <v>0</v>
      </c>
      <c r="AS55" s="283">
        <f>IF($F$60=TRUE,(IF(AS4&lt;=(ROUNDUP(Pieņēmumi!$D$53,0)+$E$59),(IF(AS4&lt;=ROUNDUP(Pieņēmumi!$D$53,0)+$E$61,IF(ROUNDUP(Pieņēmumi!$D$53,0)+$E$61=Finansējums!AS4,(Finansējums!AS4-Pieņēmumi!$D$53-$E$61),0),IF(AS4=($E$59+ROUNDUP(Pieņēmumi!$D$53,0)),(1-(ROUNDUP(Pieņēmumi!$D$53,0)-Pieņēmumi!$D$53)),1))),0)),(IF(AS4&lt;=($E$59+ROUNDUP(Pieņēmumi!$D$53,0)),IF(Finansējums!AS4&lt;=ROUNDUP(Pieņēmumi!$D$53,0),IF(Finansējums!AS4=ROUNDUP(Pieņēmumi!$D$53,0),AS4-Pieņēmumi!$D$53,0),IF(AS4=($E$59+ROUNDUP(Pieņēmumi!$D$53,0)),(1-(ROUNDUP(Pieņēmumi!$D$53,0)-Pieņēmumi!$D$53)),1)),0)))</f>
        <v>0</v>
      </c>
      <c r="AT55" s="283">
        <f>IF($F$60=TRUE,(IF(AT4&lt;=(ROUNDUP(Pieņēmumi!$D$53,0)+$E$59),(IF(AT4&lt;=ROUNDUP(Pieņēmumi!$D$53,0)+$E$61,IF(ROUNDUP(Pieņēmumi!$D$53,0)+$E$61=Finansējums!AT4,(Finansējums!AT4-Pieņēmumi!$D$53-$E$61),0),IF(AT4=($E$59+ROUNDUP(Pieņēmumi!$D$53,0)),(1-(ROUNDUP(Pieņēmumi!$D$53,0)-Pieņēmumi!$D$53)),1))),0)),(IF(AT4&lt;=($E$59+ROUNDUP(Pieņēmumi!$D$53,0)),IF(Finansējums!AT4&lt;=ROUNDUP(Pieņēmumi!$D$53,0),IF(Finansējums!AT4=ROUNDUP(Pieņēmumi!$D$53,0),AT4-Pieņēmumi!$D$53,0),IF(AT4=($E$59+ROUNDUP(Pieņēmumi!$D$53,0)),(1-(ROUNDUP(Pieņēmumi!$D$53,0)-Pieņēmumi!$D$53)),1)),0)))</f>
        <v>0</v>
      </c>
      <c r="AU55" s="283">
        <f>IF($F$60=TRUE,(IF(AU4&lt;=(ROUNDUP(Pieņēmumi!$D$53,0)+$E$59),(IF(AU4&lt;=ROUNDUP(Pieņēmumi!$D$53,0)+$E$61,IF(ROUNDUP(Pieņēmumi!$D$53,0)+$E$61=Finansējums!AU4,(Finansējums!AU4-Pieņēmumi!$D$53-$E$61),0),IF(AU4=($E$59+ROUNDUP(Pieņēmumi!$D$53,0)),(1-(ROUNDUP(Pieņēmumi!$D$53,0)-Pieņēmumi!$D$53)),1))),0)),(IF(AU4&lt;=($E$59+ROUNDUP(Pieņēmumi!$D$53,0)),IF(Finansējums!AU4&lt;=ROUNDUP(Pieņēmumi!$D$53,0),IF(Finansējums!AU4=ROUNDUP(Pieņēmumi!$D$53,0),AU4-Pieņēmumi!$D$53,0),IF(AU4=($E$59+ROUNDUP(Pieņēmumi!$D$53,0)),(1-(ROUNDUP(Pieņēmumi!$D$53,0)-Pieņēmumi!$D$53)),1)),0)))</f>
        <v>0</v>
      </c>
      <c r="AV55" s="193"/>
      <c r="AW55" s="193"/>
      <c r="AX55" s="193"/>
      <c r="AY55" s="193"/>
      <c r="AZ55" s="19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53"/>
      <c r="CE55" s="53"/>
      <c r="CF55" s="53"/>
      <c r="CG55" s="53"/>
      <c r="CH55" s="53"/>
      <c r="CI55" s="53"/>
      <c r="CJ55" s="53"/>
      <c r="CK55" s="53"/>
      <c r="CL55" s="53"/>
      <c r="CM55" s="53"/>
      <c r="CN55" s="53"/>
      <c r="CO55" s="53"/>
      <c r="CP55" s="53"/>
      <c r="CQ55" s="53"/>
      <c r="CR55" s="53"/>
      <c r="CS55" s="53"/>
      <c r="CT55" s="53"/>
      <c r="CU55" s="53"/>
      <c r="CV55" s="53"/>
      <c r="CW55" s="53"/>
      <c r="CX55" s="53"/>
      <c r="CY55" s="53"/>
      <c r="CZ55" s="53"/>
      <c r="DA55" s="53"/>
      <c r="DB55" s="53"/>
      <c r="DC55" s="53"/>
      <c r="DD55" s="53"/>
      <c r="DE55" s="53"/>
      <c r="DF55" s="53"/>
      <c r="DG55" s="53"/>
      <c r="DH55" s="53"/>
      <c r="DI55" s="53"/>
      <c r="DJ55" s="53"/>
      <c r="DK55" s="53"/>
      <c r="DL55" s="53"/>
      <c r="DM55" s="53"/>
      <c r="DN55" s="53"/>
      <c r="DO55" s="53"/>
      <c r="DP55" s="53"/>
      <c r="DQ55" s="53"/>
      <c r="DR55" s="53"/>
      <c r="DS55" s="53"/>
      <c r="DT55" s="53"/>
      <c r="DU55" s="53"/>
      <c r="DV55" s="53"/>
      <c r="DW55" s="53"/>
      <c r="DX55" s="53"/>
      <c r="DY55" s="53"/>
      <c r="DZ55" s="53"/>
      <c r="EA55" s="53"/>
      <c r="EB55" s="53"/>
      <c r="EC55" s="53"/>
      <c r="ED55" s="53"/>
      <c r="EE55" s="53"/>
      <c r="EF55" s="53"/>
      <c r="EG55" s="53"/>
      <c r="EH55" s="53"/>
      <c r="EI55" s="53"/>
      <c r="EJ55" s="53"/>
      <c r="EK55" s="53"/>
      <c r="EL55" s="53"/>
      <c r="EM55" s="53"/>
      <c r="EN55" s="53"/>
      <c r="EO55" s="53"/>
      <c r="EP55" s="53"/>
      <c r="EQ55" s="53"/>
      <c r="ER55" s="53"/>
      <c r="ES55" s="53"/>
      <c r="ET55" s="53"/>
      <c r="EU55" s="53"/>
      <c r="EV55" s="53"/>
      <c r="EW55" s="53"/>
      <c r="EX55" s="53"/>
      <c r="EY55" s="53"/>
      <c r="EZ55" s="53"/>
      <c r="FA55" s="53"/>
      <c r="FB55" s="53"/>
      <c r="FC55" s="53"/>
      <c r="FD55" s="53"/>
      <c r="FE55" s="53"/>
      <c r="FF55" s="53"/>
      <c r="FG55" s="53"/>
      <c r="FH55" s="53"/>
      <c r="FI55" s="53"/>
      <c r="FJ55" s="53"/>
      <c r="FK55" s="53"/>
      <c r="FL55" s="53"/>
      <c r="FM55" s="53"/>
      <c r="FN55" s="53"/>
      <c r="FO55" s="53"/>
      <c r="FP55" s="53"/>
      <c r="FQ55" s="53"/>
      <c r="FR55" s="53"/>
      <c r="FS55" s="53"/>
      <c r="FT55" s="53"/>
      <c r="FU55" s="53"/>
      <c r="FV55" s="53"/>
      <c r="FW55" s="53"/>
      <c r="FX55" s="53"/>
      <c r="FY55" s="53"/>
      <c r="FZ55" s="53"/>
      <c r="GA55" s="53"/>
      <c r="GB55" s="53"/>
      <c r="GC55" s="53"/>
      <c r="GD55" s="53"/>
      <c r="GE55" s="53"/>
      <c r="GF55" s="53"/>
      <c r="GG55" s="53"/>
      <c r="GH55" s="53"/>
      <c r="GI55" s="53"/>
      <c r="GJ55" s="53"/>
      <c r="GK55" s="53"/>
      <c r="GL55" s="53"/>
      <c r="GM55" s="53"/>
      <c r="GN55" s="53"/>
      <c r="GO55" s="53"/>
      <c r="GP55" s="53"/>
      <c r="GQ55" s="53"/>
      <c r="GR55" s="53"/>
      <c r="GS55" s="53"/>
      <c r="GT55" s="53"/>
      <c r="GU55" s="53"/>
      <c r="GV55" s="53"/>
      <c r="GW55" s="53"/>
      <c r="GX55" s="53"/>
      <c r="GY55" s="53"/>
      <c r="GZ55" s="53"/>
      <c r="HA55" s="53"/>
      <c r="HB55" s="53"/>
      <c r="HC55" s="53"/>
      <c r="HD55" s="53"/>
    </row>
    <row r="56" spans="1:212" ht="20" customHeight="1" x14ac:dyDescent="0.25">
      <c r="A56" s="120"/>
      <c r="B56" s="128" t="s">
        <v>26</v>
      </c>
      <c r="C56" s="123" t="s">
        <v>5</v>
      </c>
      <c r="D56" s="123"/>
      <c r="E56" s="198">
        <f>E20</f>
        <v>0.15696065675908449</v>
      </c>
      <c r="F56" s="185"/>
      <c r="G56" s="185"/>
      <c r="H56" s="123"/>
      <c r="I56" s="123"/>
      <c r="J56" s="258"/>
      <c r="K56" s="284"/>
      <c r="L56" s="284"/>
      <c r="M56" s="284"/>
      <c r="N56" s="284"/>
      <c r="O56" s="284"/>
      <c r="P56" s="284"/>
      <c r="Q56" s="284"/>
      <c r="R56" s="284"/>
      <c r="S56" s="284"/>
      <c r="T56" s="284"/>
      <c r="U56" s="284"/>
      <c r="V56" s="284"/>
      <c r="W56" s="284"/>
      <c r="X56" s="284"/>
      <c r="Y56" s="284"/>
      <c r="Z56" s="284"/>
      <c r="AA56" s="284"/>
      <c r="AB56" s="258"/>
      <c r="AC56" s="258"/>
      <c r="AD56" s="258"/>
      <c r="AE56" s="258"/>
      <c r="AF56" s="258"/>
      <c r="AG56" s="258"/>
      <c r="AH56" s="258"/>
      <c r="AI56" s="258"/>
      <c r="AJ56" s="258"/>
      <c r="AK56" s="258"/>
      <c r="AL56" s="258"/>
      <c r="AM56" s="258"/>
      <c r="AN56" s="258"/>
      <c r="AO56" s="258"/>
      <c r="AP56" s="262"/>
      <c r="AQ56" s="46"/>
      <c r="AR56" s="46"/>
      <c r="AS56" s="46"/>
      <c r="AT56" s="46"/>
      <c r="AU56" s="46"/>
      <c r="AV56" s="46"/>
      <c r="AW56" s="46"/>
      <c r="AX56" s="46"/>
      <c r="AY56" s="46"/>
      <c r="AZ56" s="46"/>
      <c r="BA56" s="46"/>
    </row>
    <row r="57" spans="1:212" ht="20" customHeight="1" x14ac:dyDescent="0.25">
      <c r="A57" s="120"/>
      <c r="B57" s="128" t="s">
        <v>27</v>
      </c>
      <c r="C57" s="123" t="s">
        <v>8</v>
      </c>
      <c r="D57" s="123"/>
      <c r="E57" s="246">
        <f>SUM(J63:K63)</f>
        <v>195735.37980000002</v>
      </c>
      <c r="F57" s="185"/>
      <c r="G57" s="185"/>
      <c r="H57" s="123"/>
      <c r="I57" s="123"/>
      <c r="J57" s="258"/>
      <c r="K57" s="258"/>
      <c r="L57" s="258"/>
      <c r="M57" s="258"/>
      <c r="N57" s="258"/>
      <c r="O57" s="258"/>
      <c r="P57" s="258"/>
      <c r="Q57" s="258"/>
      <c r="R57" s="258"/>
      <c r="S57" s="258"/>
      <c r="T57" s="258"/>
      <c r="U57" s="258"/>
      <c r="V57" s="258"/>
      <c r="W57" s="258"/>
      <c r="X57" s="258"/>
      <c r="Y57" s="258"/>
      <c r="Z57" s="258"/>
      <c r="AA57" s="258"/>
      <c r="AB57" s="258"/>
      <c r="AC57" s="258"/>
      <c r="AD57" s="258"/>
      <c r="AE57" s="258"/>
      <c r="AF57" s="258"/>
      <c r="AG57" s="258"/>
      <c r="AH57" s="258"/>
      <c r="AI57" s="258"/>
      <c r="AJ57" s="258"/>
      <c r="AK57" s="258"/>
      <c r="AL57" s="258"/>
      <c r="AM57" s="258"/>
      <c r="AN57" s="258"/>
      <c r="AO57" s="258"/>
      <c r="AP57" s="262"/>
      <c r="AQ57" s="46"/>
      <c r="AR57" s="46"/>
      <c r="AS57" s="46"/>
      <c r="AT57" s="46"/>
      <c r="AU57" s="46"/>
      <c r="AV57" s="46"/>
      <c r="AW57" s="46"/>
      <c r="AX57" s="46"/>
      <c r="AY57" s="46"/>
      <c r="AZ57" s="46"/>
      <c r="BA57" s="46"/>
    </row>
    <row r="58" spans="1:212" ht="20" customHeight="1" x14ac:dyDescent="0.25">
      <c r="A58" s="120"/>
      <c r="B58" s="128" t="s">
        <v>30</v>
      </c>
      <c r="C58" s="123" t="s">
        <v>5</v>
      </c>
      <c r="D58" s="123"/>
      <c r="E58" s="206">
        <f>Pieņēmumi!D65</f>
        <v>3.5000000000000003E-2</v>
      </c>
      <c r="F58" s="185"/>
      <c r="G58" s="185"/>
      <c r="H58" s="123"/>
      <c r="I58" s="123"/>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62"/>
      <c r="AQ58" s="46"/>
      <c r="AR58" s="46"/>
      <c r="AS58" s="46"/>
      <c r="AT58" s="46"/>
      <c r="AU58" s="46"/>
      <c r="AV58" s="46"/>
      <c r="AW58" s="46"/>
      <c r="AX58" s="46"/>
      <c r="AY58" s="46"/>
      <c r="AZ58" s="46"/>
      <c r="BA58" s="46"/>
    </row>
    <row r="59" spans="1:212" s="44" customFormat="1" ht="20" customHeight="1" x14ac:dyDescent="0.25">
      <c r="A59" s="177"/>
      <c r="B59" s="178" t="s">
        <v>31</v>
      </c>
      <c r="C59" s="179" t="s">
        <v>13</v>
      </c>
      <c r="D59" s="179"/>
      <c r="E59" s="200">
        <v>15</v>
      </c>
      <c r="F59" s="188"/>
      <c r="G59" s="188"/>
      <c r="H59" s="179"/>
      <c r="I59" s="179"/>
      <c r="J59" s="263">
        <f>IF(AND(J55&gt;0,$F$60=TRUE),$E$59-SUM(I$55:$J55)-$E$61,IF(J55&gt;0,$E$59-SUM(I$55:$J55),0))</f>
        <v>0</v>
      </c>
      <c r="K59" s="263">
        <f>IF(AND(K55&gt;0,$F$60=TRUE),$E$59-SUM(J$55:$J55)-$E$61,IF(K55&gt;0,$E$59-SUM(J$55:$J55),0))</f>
        <v>0</v>
      </c>
      <c r="L59" s="263">
        <f>IF(AND(L55&gt;0,$F$60=TRUE),$E$59-SUM($J$55:K55)-$E$61,IF(L55&gt;0,$E$59-SUM($J$55:K55),0))</f>
        <v>0</v>
      </c>
      <c r="M59" s="263">
        <f>IF(AND(M55&gt;0,$F$60=TRUE),$E$59-SUM($J$55:L55)-$E$61,IF(M55&gt;0,$E$59-SUM($J$55:L55),0))</f>
        <v>0</v>
      </c>
      <c r="N59" s="263">
        <f>IF(AND(N55&gt;0,$F$60=TRUE),$E$59-SUM($J$55:M55)-$E$61,IF(N55&gt;0,$E$59-SUM($J$55:M55),0))</f>
        <v>0</v>
      </c>
      <c r="O59" s="263">
        <f>IF(AND(O55&gt;0,$F$60=TRUE),$E$59-SUM($J$55:N55)-$E$61,IF(O55&gt;0,$E$59-SUM($J$55:N55),0))</f>
        <v>0</v>
      </c>
      <c r="P59" s="263">
        <f>IF(AND(P55&gt;0,$F$60=TRUE),$E$59-SUM($J$55:O55)-$E$61,IF(P55&gt;0,$E$59-SUM($J$55:O55),0))</f>
        <v>0</v>
      </c>
      <c r="Q59" s="263">
        <f>IF(AND(Q55&gt;0,$F$60=TRUE),$E$59-SUM($J$55:P55)-$E$61,IF(Q55&gt;0,$E$59-SUM($J$55:P55),0))</f>
        <v>10</v>
      </c>
      <c r="R59" s="263">
        <f>IF(AND(R55&gt;0,$F$60=TRUE),$E$59-SUM($J$55:Q55)-$E$61,IF(R55&gt;0,$E$59-SUM($J$55:Q55),0))</f>
        <v>9</v>
      </c>
      <c r="S59" s="263">
        <f>IF(AND(S55&gt;0,$F$60=TRUE),$E$59-SUM($J$55:R55)-$E$61,IF(S55&gt;0,$E$59-SUM($J$55:R55),0))</f>
        <v>8</v>
      </c>
      <c r="T59" s="263">
        <f>IF(AND(T55&gt;0,$F$60=TRUE),$E$59-SUM($J$55:S55)-$E$61,IF(T55&gt;0,$E$59-SUM($J$55:S55),0))</f>
        <v>7</v>
      </c>
      <c r="U59" s="263">
        <f>IF(AND(U55&gt;0,$F$60=TRUE),$E$59-SUM($J$55:T55)-$E$61,IF(U55&gt;0,$E$59-SUM($J$55:T55),0))</f>
        <v>6</v>
      </c>
      <c r="V59" s="263">
        <f>IF(AND(V55&gt;0,$F$60=TRUE),$E$59-SUM($J$55:U55)-$E$61,IF(V55&gt;0,$E$59-SUM($J$55:U55),0))</f>
        <v>5</v>
      </c>
      <c r="W59" s="263">
        <f>IF(AND(W55&gt;0,$F$60=TRUE),$E$59-SUM($J$55:V55)-$E$61,IF(W55&gt;0,$E$59-SUM($J$55:V55),0))</f>
        <v>4</v>
      </c>
      <c r="X59" s="263">
        <f>IF(AND(X55&gt;0,$F$60=TRUE),$E$59-SUM($J$55:W55)-$E$61,IF(X55&gt;0,$E$59-SUM($J$55:W55),0))</f>
        <v>3</v>
      </c>
      <c r="Y59" s="263">
        <f>IF(AND(Y55&gt;0,$F$60=TRUE),$E$59-SUM($J$55:X55)-$E$61,IF(Y55&gt;0,$E$59-SUM($J$55:X55),0))</f>
        <v>2</v>
      </c>
      <c r="Z59" s="263">
        <f>IF(AND(Z55&gt;0,$F$60=TRUE),$E$59-SUM($J$55:Y55)-$E$61,IF(Z55&gt;0,$E$59-SUM($J$55:Y55),0))</f>
        <v>1</v>
      </c>
      <c r="AA59" s="263">
        <f>IF(AND(AA55&gt;0,$F$60=TRUE),$E$59-SUM($J$55:Z55)-$E$61,IF(AA55&gt;0,$E$59-SUM($J$55:Z55),0))</f>
        <v>0</v>
      </c>
      <c r="AB59" s="263">
        <f>IF(AND(AB55&gt;0,$F$60=TRUE),$E$59-SUM($J$55:AA55)-$E$61,IF(AB55&gt;0,$E$59-SUM($J$55:AA55),0))</f>
        <v>0</v>
      </c>
      <c r="AC59" s="263">
        <f>IF(AND(AC55&gt;0,$F$60=TRUE),$E$59-SUM($J$55:AB55)-$E$61,IF(AC55&gt;0,$E$59-SUM($J$55:AB55),0))</f>
        <v>0</v>
      </c>
      <c r="AD59" s="263">
        <f>IF(AND(AD55&gt;0,$F$60=TRUE),$E$59-SUM($J$55:AC55)-$E$61,IF(AD55&gt;0,$E$59-SUM($J$55:AC55),0))</f>
        <v>0</v>
      </c>
      <c r="AE59" s="263">
        <f>IF(AND(AE55&gt;0,$F$60=TRUE),$E$59-SUM($J$55:AD55)-$E$61,IF(AE55&gt;0,$E$59-SUM($J$55:AD55),0))</f>
        <v>0</v>
      </c>
      <c r="AF59" s="263">
        <f>IF(AND(AF55&gt;0,$F$60=TRUE),$E$59-SUM($J$55:AE55)-$E$61,IF(AF55&gt;0,$E$59-SUM($J$55:AE55),0))</f>
        <v>0</v>
      </c>
      <c r="AG59" s="263">
        <f>IF(AND(AG55&gt;0,$F$60=TRUE),$E$59-SUM($J$55:AF55)-$E$61,IF(AG55&gt;0,$E$59-SUM($J$55:AF55),0))</f>
        <v>0</v>
      </c>
      <c r="AH59" s="263">
        <f>IF(AND(AH55&gt;0,$F$60=TRUE),$E$59-SUM($J$55:AG55)-$E$61,IF(AH55&gt;0,$E$59-SUM($J$55:AG55),0))</f>
        <v>0</v>
      </c>
      <c r="AI59" s="263">
        <f>IF(AND(AI55&gt;0,$F$60=TRUE),$E$59-SUM($J$55:AH55)-$E$61,IF(AI55&gt;0,$E$59-SUM($J$55:AH55),0))</f>
        <v>0</v>
      </c>
      <c r="AJ59" s="263">
        <f>IF(AND(AJ55&gt;0,$F$60=TRUE),$E$59-SUM($J$55:AI55)-$E$61,IF(AJ55&gt;0,$E$59-SUM($J$55:AI55),0))</f>
        <v>0</v>
      </c>
      <c r="AK59" s="263">
        <f>IF(AND(AK55&gt;0,$F$60=TRUE),$E$59-SUM($J$55:AJ55)-$E$61,IF(AK55&gt;0,$E$59-SUM($J$55:AJ55),0))</f>
        <v>0</v>
      </c>
      <c r="AL59" s="263">
        <f>IF(AND(AL55&gt;0,$F$60=TRUE),$E$59-SUM($J$55:AK55)-$E$61,IF(AL55&gt;0,$E$59-SUM($J$55:AK55),0))</f>
        <v>0</v>
      </c>
      <c r="AM59" s="263">
        <f>IF(AND(AM55&gt;0,$F$60=TRUE),$E$59-SUM($J$55:AL55)-$E$61,IF(AM55&gt;0,$E$59-SUM($J$55:AL55),0))</f>
        <v>0</v>
      </c>
      <c r="AN59" s="263">
        <f>IF(AND(AN55&gt;0,$F$60=TRUE),$E$59-SUM($J$55:AM55)-$E$61,IF(AN55&gt;0,$E$59-SUM($J$55:AM55),0))</f>
        <v>0</v>
      </c>
      <c r="AO59" s="263">
        <f>IF(AND(AO55&gt;0,$F$60=TRUE),$E$59-SUM($J$55:AN55)-$E$61,IF(AO55&gt;0,$E$59-SUM($J$55:AN55),0))</f>
        <v>0</v>
      </c>
      <c r="AP59" s="263">
        <f>IF(AND(AP55&gt;0,$F$60=TRUE),$E$59-SUM($J$55:AO55)-$E$61,IF(AP55&gt;0,$E$59-SUM($J$55:AO55),0))</f>
        <v>0</v>
      </c>
      <c r="AQ59" s="263">
        <f>IF(AND(AQ55&gt;0,$F$60=TRUE),$E$59-SUM($J$55:AP55)-$E$61,IF(AQ55&gt;0,$E$59-SUM($J$55:AP55),0))</f>
        <v>0</v>
      </c>
      <c r="AR59" s="263">
        <f>IF(AND(AR55&gt;0,$F$60=TRUE),$E$59-SUM($J$55:AQ55)-$E$61,IF(AR55&gt;0,$E$59-SUM($J$55:AQ55),0))</f>
        <v>0</v>
      </c>
      <c r="AS59" s="263">
        <f>IF(AND(AS55&gt;0,$F$60=TRUE),$E$59-SUM($J$55:AR55)-$E$61,IF(AS55&gt;0,$E$59-SUM($J$55:AR55),0))</f>
        <v>0</v>
      </c>
      <c r="AT59" s="263">
        <f>IF(AND(AT55&gt;0,$F$60=TRUE),$E$59-SUM($J$55:AS55)-$E$61,IF(AT55&gt;0,$E$59-SUM($J$55:AS55),0))</f>
        <v>0</v>
      </c>
      <c r="AU59" s="263">
        <f>IF(AND(AU55&gt;0,$F$60=TRUE),$E$59-SUM($J$55:AT55)-$E$61,IF(AU55&gt;0,$E$59-SUM($J$55:AT55),0))</f>
        <v>0</v>
      </c>
      <c r="AV59" s="46"/>
      <c r="AW59" s="46"/>
      <c r="AX59" s="46"/>
      <c r="AY59" s="46"/>
      <c r="AZ59" s="46"/>
      <c r="BA59" s="46"/>
    </row>
    <row r="60" spans="1:212" s="46" customFormat="1" ht="20" customHeight="1" x14ac:dyDescent="0.25">
      <c r="A60" s="113"/>
      <c r="B60" s="131" t="s">
        <v>287</v>
      </c>
      <c r="C60" s="114"/>
      <c r="D60" s="114"/>
      <c r="E60" s="201"/>
      <c r="F60" s="202" t="b">
        <v>1</v>
      </c>
      <c r="G60" s="189"/>
      <c r="H60" s="114"/>
      <c r="I60" s="11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2"/>
      <c r="AS60" s="193"/>
    </row>
    <row r="61" spans="1:212" s="46" customFormat="1" ht="20" customHeight="1" x14ac:dyDescent="0.25">
      <c r="A61" s="113"/>
      <c r="B61" s="131" t="s">
        <v>67</v>
      </c>
      <c r="C61" s="114" t="s">
        <v>13</v>
      </c>
      <c r="D61" s="114"/>
      <c r="E61" s="201">
        <f>Pieņēmumi!D67</f>
        <v>5</v>
      </c>
      <c r="F61" s="189"/>
      <c r="G61" s="189"/>
      <c r="H61" s="114"/>
      <c r="I61" s="114"/>
      <c r="J61" s="264"/>
      <c r="K61" s="264"/>
      <c r="L61" s="264"/>
      <c r="M61" s="264"/>
      <c r="N61" s="264"/>
      <c r="O61" s="264"/>
      <c r="P61" s="264"/>
      <c r="Q61" s="264"/>
      <c r="R61" s="264"/>
      <c r="S61" s="264"/>
      <c r="T61" s="264"/>
      <c r="U61" s="264"/>
      <c r="V61" s="264"/>
      <c r="W61" s="264"/>
      <c r="X61" s="264"/>
      <c r="Y61" s="264"/>
      <c r="Z61" s="264"/>
      <c r="AA61" s="264"/>
      <c r="AB61" s="264"/>
      <c r="AC61" s="264"/>
      <c r="AD61" s="264"/>
      <c r="AE61" s="264"/>
      <c r="AF61" s="264"/>
      <c r="AG61" s="264"/>
      <c r="AH61" s="264"/>
      <c r="AI61" s="264"/>
      <c r="AJ61" s="264"/>
      <c r="AK61" s="264"/>
      <c r="AL61" s="264"/>
      <c r="AM61" s="264"/>
      <c r="AN61" s="264"/>
      <c r="AO61" s="264"/>
      <c r="AP61" s="262"/>
      <c r="AS61" s="193"/>
    </row>
    <row r="62" spans="1:212" ht="20" customHeight="1" x14ac:dyDescent="0.25">
      <c r="A62" s="120"/>
      <c r="B62" s="180" t="s">
        <v>32</v>
      </c>
      <c r="C62" s="123" t="s">
        <v>8</v>
      </c>
      <c r="D62" s="181"/>
      <c r="E62" s="203"/>
      <c r="F62" s="204"/>
      <c r="G62" s="204"/>
      <c r="H62" s="181"/>
      <c r="I62" s="181"/>
      <c r="J62" s="265">
        <f>I65</f>
        <v>0</v>
      </c>
      <c r="K62" s="265">
        <f t="shared" ref="K62:Z62" si="24">J65</f>
        <v>97867.689900000012</v>
      </c>
      <c r="L62" s="265">
        <f t="shared" si="24"/>
        <v>195735.37980000002</v>
      </c>
      <c r="M62" s="265">
        <f t="shared" si="24"/>
        <v>195735.37980000002</v>
      </c>
      <c r="N62" s="265">
        <f t="shared" si="24"/>
        <v>195735.37980000002</v>
      </c>
      <c r="O62" s="265">
        <f t="shared" si="24"/>
        <v>195735.37980000002</v>
      </c>
      <c r="P62" s="265">
        <f t="shared" si="24"/>
        <v>195735.37980000002</v>
      </c>
      <c r="Q62" s="265">
        <f t="shared" si="24"/>
        <v>195735.37980000002</v>
      </c>
      <c r="R62" s="265">
        <f t="shared" si="24"/>
        <v>176161.84182000003</v>
      </c>
      <c r="S62" s="265">
        <f t="shared" si="24"/>
        <v>156588.30384000004</v>
      </c>
      <c r="T62" s="265">
        <f t="shared" si="24"/>
        <v>137014.76586000004</v>
      </c>
      <c r="U62" s="265">
        <f t="shared" si="24"/>
        <v>117441.22788000003</v>
      </c>
      <c r="V62" s="265">
        <f t="shared" si="24"/>
        <v>97867.689900000027</v>
      </c>
      <c r="W62" s="265">
        <f t="shared" si="24"/>
        <v>78294.151920000018</v>
      </c>
      <c r="X62" s="265">
        <f t="shared" si="24"/>
        <v>58720.61394000001</v>
      </c>
      <c r="Y62" s="265">
        <f t="shared" si="24"/>
        <v>39147.075960000002</v>
      </c>
      <c r="Z62" s="265">
        <f t="shared" si="24"/>
        <v>19573.537980000001</v>
      </c>
      <c r="AA62" s="265">
        <f t="shared" ref="AA62" si="25">Z65</f>
        <v>0</v>
      </c>
      <c r="AB62" s="265">
        <f t="shared" ref="AB62" si="26">AA65</f>
        <v>0</v>
      </c>
      <c r="AC62" s="265">
        <f t="shared" ref="AC62" si="27">AB65</f>
        <v>0</v>
      </c>
      <c r="AD62" s="265">
        <f t="shared" ref="AD62" si="28">AC65</f>
        <v>0</v>
      </c>
      <c r="AE62" s="265">
        <f t="shared" ref="AE62" si="29">AD65</f>
        <v>0</v>
      </c>
      <c r="AF62" s="265">
        <f t="shared" ref="AF62" si="30">AE65</f>
        <v>0</v>
      </c>
      <c r="AG62" s="265">
        <f t="shared" ref="AG62" si="31">AF65</f>
        <v>0</v>
      </c>
      <c r="AH62" s="265">
        <f t="shared" ref="AH62" si="32">AG65</f>
        <v>0</v>
      </c>
      <c r="AI62" s="265">
        <f t="shared" ref="AI62" si="33">AH65</f>
        <v>0</v>
      </c>
      <c r="AJ62" s="265">
        <f t="shared" ref="AJ62" si="34">AI65</f>
        <v>0</v>
      </c>
      <c r="AK62" s="265">
        <f t="shared" ref="AK62" si="35">AJ65</f>
        <v>0</v>
      </c>
      <c r="AL62" s="265">
        <f t="shared" ref="AL62" si="36">AK65</f>
        <v>0</v>
      </c>
      <c r="AM62" s="265">
        <f t="shared" ref="AM62" si="37">AL65</f>
        <v>0</v>
      </c>
      <c r="AN62" s="265">
        <f t="shared" ref="AN62" si="38">AM65</f>
        <v>0</v>
      </c>
      <c r="AO62" s="265">
        <f t="shared" ref="AO62" si="39">AN65</f>
        <v>0</v>
      </c>
      <c r="AP62" s="265">
        <f t="shared" ref="AP62" si="40">AO65</f>
        <v>0</v>
      </c>
      <c r="AQ62" s="265">
        <f t="shared" ref="AQ62" si="41">AP65</f>
        <v>0</v>
      </c>
      <c r="AR62" s="265">
        <f t="shared" ref="AR62" si="42">AQ65</f>
        <v>0</v>
      </c>
      <c r="AS62" s="265">
        <f t="shared" ref="AS62" si="43">AR65</f>
        <v>0</v>
      </c>
      <c r="AT62" s="265">
        <f t="shared" ref="AT62" si="44">AS65</f>
        <v>0</v>
      </c>
      <c r="AU62" s="265">
        <f t="shared" ref="AU62" si="45">AT65</f>
        <v>0</v>
      </c>
      <c r="AV62" s="46"/>
      <c r="AW62" s="46"/>
      <c r="AX62" s="46"/>
      <c r="AY62" s="46"/>
      <c r="AZ62" s="46"/>
      <c r="BA62" s="46"/>
    </row>
    <row r="63" spans="1:212" s="52" customFormat="1" ht="20" customHeight="1" x14ac:dyDescent="0.25">
      <c r="A63" s="182"/>
      <c r="B63" s="176" t="s">
        <v>33</v>
      </c>
      <c r="C63" s="123" t="s">
        <v>8</v>
      </c>
      <c r="D63" s="182"/>
      <c r="E63" s="199"/>
      <c r="F63" s="190"/>
      <c r="G63" s="190"/>
      <c r="H63" s="182"/>
      <c r="I63" s="182"/>
      <c r="J63" s="263">
        <f t="shared" ref="J63:Q63" si="46">J20</f>
        <v>97867.689900000012</v>
      </c>
      <c r="K63" s="263">
        <f t="shared" si="46"/>
        <v>97867.689900000012</v>
      </c>
      <c r="L63" s="263">
        <f t="shared" si="46"/>
        <v>0</v>
      </c>
      <c r="M63" s="263">
        <f t="shared" si="46"/>
        <v>0</v>
      </c>
      <c r="N63" s="263">
        <f t="shared" si="46"/>
        <v>0</v>
      </c>
      <c r="O63" s="263">
        <f t="shared" si="46"/>
        <v>0</v>
      </c>
      <c r="P63" s="263">
        <f t="shared" si="46"/>
        <v>0</v>
      </c>
      <c r="Q63" s="263">
        <f t="shared" si="46"/>
        <v>0</v>
      </c>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2"/>
      <c r="AQ63" s="53"/>
      <c r="AR63" s="53"/>
      <c r="AS63" s="53"/>
      <c r="AT63" s="53"/>
      <c r="AU63" s="53"/>
      <c r="AV63" s="53"/>
      <c r="AW63" s="53"/>
      <c r="AX63" s="53"/>
      <c r="AY63" s="53"/>
      <c r="AZ63" s="53"/>
      <c r="BA63" s="53"/>
    </row>
    <row r="64" spans="1:212" s="52" customFormat="1" ht="20" customHeight="1" x14ac:dyDescent="0.25">
      <c r="A64" s="182"/>
      <c r="B64" s="176" t="s">
        <v>34</v>
      </c>
      <c r="C64" s="123" t="s">
        <v>8</v>
      </c>
      <c r="D64" s="182"/>
      <c r="E64" s="199"/>
      <c r="F64" s="190"/>
      <c r="G64" s="190"/>
      <c r="H64" s="182"/>
      <c r="I64" s="182"/>
      <c r="J64" s="263">
        <f>(IF(J55=0,0,-(J62/J59))*J55)</f>
        <v>0</v>
      </c>
      <c r="K64" s="263">
        <f>(IF(K55=0,0,-(K62/K59))*K55)</f>
        <v>0</v>
      </c>
      <c r="L64" s="263">
        <f>(IF(L55=0,0,-(L62/L59))*L55)</f>
        <v>0</v>
      </c>
      <c r="M64" s="263">
        <f t="shared" ref="M64:AU64" si="47">(IF(M55=0,0,-(M62/M59))*M55)</f>
        <v>0</v>
      </c>
      <c r="N64" s="263">
        <f t="shared" si="47"/>
        <v>0</v>
      </c>
      <c r="O64" s="263">
        <f t="shared" si="47"/>
        <v>0</v>
      </c>
      <c r="P64" s="263">
        <f t="shared" si="47"/>
        <v>0</v>
      </c>
      <c r="Q64" s="263">
        <f t="shared" si="47"/>
        <v>-19573.537980000001</v>
      </c>
      <c r="R64" s="263">
        <f t="shared" si="47"/>
        <v>-19573.537980000005</v>
      </c>
      <c r="S64" s="263">
        <f t="shared" si="47"/>
        <v>-19573.537980000005</v>
      </c>
      <c r="T64" s="263">
        <f t="shared" si="47"/>
        <v>-19573.537980000005</v>
      </c>
      <c r="U64" s="263">
        <f t="shared" si="47"/>
        <v>-19573.537980000005</v>
      </c>
      <c r="V64" s="263">
        <f t="shared" si="47"/>
        <v>-19573.537980000005</v>
      </c>
      <c r="W64" s="263">
        <f t="shared" si="47"/>
        <v>-19573.537980000005</v>
      </c>
      <c r="X64" s="263">
        <f t="shared" si="47"/>
        <v>-19573.537980000005</v>
      </c>
      <c r="Y64" s="263">
        <f t="shared" si="47"/>
        <v>-19573.537980000001</v>
      </c>
      <c r="Z64" s="263">
        <f t="shared" si="47"/>
        <v>-19573.537980000001</v>
      </c>
      <c r="AA64" s="263">
        <f t="shared" si="47"/>
        <v>0</v>
      </c>
      <c r="AB64" s="263">
        <f t="shared" si="47"/>
        <v>0</v>
      </c>
      <c r="AC64" s="263">
        <f t="shared" si="47"/>
        <v>0</v>
      </c>
      <c r="AD64" s="263">
        <f t="shared" si="47"/>
        <v>0</v>
      </c>
      <c r="AE64" s="263">
        <f t="shared" si="47"/>
        <v>0</v>
      </c>
      <c r="AF64" s="263">
        <f t="shared" si="47"/>
        <v>0</v>
      </c>
      <c r="AG64" s="263">
        <f t="shared" si="47"/>
        <v>0</v>
      </c>
      <c r="AH64" s="263">
        <f t="shared" si="47"/>
        <v>0</v>
      </c>
      <c r="AI64" s="263">
        <f t="shared" si="47"/>
        <v>0</v>
      </c>
      <c r="AJ64" s="263">
        <f t="shared" si="47"/>
        <v>0</v>
      </c>
      <c r="AK64" s="263">
        <f t="shared" si="47"/>
        <v>0</v>
      </c>
      <c r="AL64" s="263">
        <f t="shared" si="47"/>
        <v>0</v>
      </c>
      <c r="AM64" s="263">
        <f t="shared" si="47"/>
        <v>0</v>
      </c>
      <c r="AN64" s="263">
        <f t="shared" si="47"/>
        <v>0</v>
      </c>
      <c r="AO64" s="263">
        <f t="shared" si="47"/>
        <v>0</v>
      </c>
      <c r="AP64" s="263">
        <f t="shared" si="47"/>
        <v>0</v>
      </c>
      <c r="AQ64" s="263">
        <f t="shared" si="47"/>
        <v>0</v>
      </c>
      <c r="AR64" s="263">
        <f t="shared" si="47"/>
        <v>0</v>
      </c>
      <c r="AS64" s="263">
        <f t="shared" si="47"/>
        <v>0</v>
      </c>
      <c r="AT64" s="263">
        <f t="shared" si="47"/>
        <v>0</v>
      </c>
      <c r="AU64" s="263">
        <f t="shared" si="47"/>
        <v>0</v>
      </c>
      <c r="AV64" s="53"/>
      <c r="AW64" s="53"/>
      <c r="AX64" s="53"/>
      <c r="AY64" s="53"/>
      <c r="AZ64" s="53"/>
      <c r="BA64" s="53"/>
    </row>
    <row r="65" spans="1:53" ht="20" customHeight="1" x14ac:dyDescent="0.25">
      <c r="A65" s="120"/>
      <c r="B65" s="180" t="s">
        <v>35</v>
      </c>
      <c r="C65" s="123" t="s">
        <v>8</v>
      </c>
      <c r="D65" s="181"/>
      <c r="E65" s="203"/>
      <c r="F65" s="204"/>
      <c r="G65" s="204"/>
      <c r="H65" s="181"/>
      <c r="I65" s="181"/>
      <c r="J65" s="265">
        <f t="shared" ref="J65:AU65" si="48">SUM(J62:J64)</f>
        <v>97867.689900000012</v>
      </c>
      <c r="K65" s="265">
        <f>SUM(K62:K64)</f>
        <v>195735.37980000002</v>
      </c>
      <c r="L65" s="265">
        <f t="shared" si="48"/>
        <v>195735.37980000002</v>
      </c>
      <c r="M65" s="265">
        <f t="shared" si="48"/>
        <v>195735.37980000002</v>
      </c>
      <c r="N65" s="265">
        <f t="shared" si="48"/>
        <v>195735.37980000002</v>
      </c>
      <c r="O65" s="265">
        <f t="shared" si="48"/>
        <v>195735.37980000002</v>
      </c>
      <c r="P65" s="265">
        <f t="shared" si="48"/>
        <v>195735.37980000002</v>
      </c>
      <c r="Q65" s="265">
        <f t="shared" si="48"/>
        <v>176161.84182000003</v>
      </c>
      <c r="R65" s="265">
        <f t="shared" si="48"/>
        <v>156588.30384000004</v>
      </c>
      <c r="S65" s="265">
        <f t="shared" si="48"/>
        <v>137014.76586000004</v>
      </c>
      <c r="T65" s="265">
        <f t="shared" si="48"/>
        <v>117441.22788000003</v>
      </c>
      <c r="U65" s="265">
        <f t="shared" si="48"/>
        <v>97867.689900000027</v>
      </c>
      <c r="V65" s="265">
        <f t="shared" si="48"/>
        <v>78294.151920000018</v>
      </c>
      <c r="W65" s="265">
        <f t="shared" si="48"/>
        <v>58720.61394000001</v>
      </c>
      <c r="X65" s="265">
        <f t="shared" si="48"/>
        <v>39147.075960000002</v>
      </c>
      <c r="Y65" s="265">
        <f t="shared" si="48"/>
        <v>19573.537980000001</v>
      </c>
      <c r="Z65" s="265">
        <f t="shared" si="48"/>
        <v>0</v>
      </c>
      <c r="AA65" s="265">
        <f t="shared" si="48"/>
        <v>0</v>
      </c>
      <c r="AB65" s="265">
        <f t="shared" si="48"/>
        <v>0</v>
      </c>
      <c r="AC65" s="265">
        <f t="shared" si="48"/>
        <v>0</v>
      </c>
      <c r="AD65" s="265">
        <f t="shared" si="48"/>
        <v>0</v>
      </c>
      <c r="AE65" s="265">
        <f t="shared" si="48"/>
        <v>0</v>
      </c>
      <c r="AF65" s="265">
        <f t="shared" si="48"/>
        <v>0</v>
      </c>
      <c r="AG65" s="265">
        <f t="shared" si="48"/>
        <v>0</v>
      </c>
      <c r="AH65" s="265">
        <f t="shared" si="48"/>
        <v>0</v>
      </c>
      <c r="AI65" s="265">
        <f t="shared" si="48"/>
        <v>0</v>
      </c>
      <c r="AJ65" s="265">
        <f t="shared" si="48"/>
        <v>0</v>
      </c>
      <c r="AK65" s="265">
        <f t="shared" si="48"/>
        <v>0</v>
      </c>
      <c r="AL65" s="265">
        <f t="shared" si="48"/>
        <v>0</v>
      </c>
      <c r="AM65" s="265">
        <f t="shared" si="48"/>
        <v>0</v>
      </c>
      <c r="AN65" s="265">
        <f t="shared" si="48"/>
        <v>0</v>
      </c>
      <c r="AO65" s="265">
        <f t="shared" si="48"/>
        <v>0</v>
      </c>
      <c r="AP65" s="265">
        <f t="shared" si="48"/>
        <v>0</v>
      </c>
      <c r="AQ65" s="265">
        <f t="shared" si="48"/>
        <v>0</v>
      </c>
      <c r="AR65" s="265">
        <f t="shared" si="48"/>
        <v>0</v>
      </c>
      <c r="AS65" s="265">
        <f t="shared" si="48"/>
        <v>0</v>
      </c>
      <c r="AT65" s="265">
        <f t="shared" si="48"/>
        <v>0</v>
      </c>
      <c r="AU65" s="265">
        <f t="shared" si="48"/>
        <v>0</v>
      </c>
      <c r="AV65" s="46"/>
      <c r="AW65" s="46"/>
      <c r="AX65" s="46"/>
      <c r="AY65" s="46"/>
      <c r="AZ65" s="46"/>
      <c r="BA65" s="46"/>
    </row>
    <row r="66" spans="1:53" s="52" customFormat="1" ht="20" customHeight="1" x14ac:dyDescent="0.25">
      <c r="A66" s="182"/>
      <c r="B66" s="176" t="s">
        <v>11</v>
      </c>
      <c r="C66" s="123" t="s">
        <v>8</v>
      </c>
      <c r="D66" s="182"/>
      <c r="E66" s="203"/>
      <c r="F66" s="182"/>
      <c r="G66" s="182"/>
      <c r="H66" s="182"/>
      <c r="I66" s="182"/>
      <c r="J66" s="263">
        <f t="shared" ref="J66:AU66" si="49">-AVERAGE(J62,J65)*$E$58</f>
        <v>-1712.6845732500003</v>
      </c>
      <c r="K66" s="263">
        <f t="shared" si="49"/>
        <v>-5138.0537197500016</v>
      </c>
      <c r="L66" s="263">
        <f t="shared" si="49"/>
        <v>-6850.7382930000012</v>
      </c>
      <c r="M66" s="263">
        <f t="shared" si="49"/>
        <v>-6850.7382930000012</v>
      </c>
      <c r="N66" s="263">
        <f t="shared" si="49"/>
        <v>-6850.7382930000012</v>
      </c>
      <c r="O66" s="263">
        <f t="shared" si="49"/>
        <v>-6850.7382930000012</v>
      </c>
      <c r="P66" s="263">
        <f t="shared" si="49"/>
        <v>-6850.7382930000012</v>
      </c>
      <c r="Q66" s="263">
        <f t="shared" si="49"/>
        <v>-6508.2013783500024</v>
      </c>
      <c r="R66" s="263">
        <f t="shared" si="49"/>
        <v>-5823.1275490500011</v>
      </c>
      <c r="S66" s="263">
        <f t="shared" si="49"/>
        <v>-5138.0537197500025</v>
      </c>
      <c r="T66" s="263">
        <f t="shared" si="49"/>
        <v>-4452.9798904500012</v>
      </c>
      <c r="U66" s="263">
        <f t="shared" si="49"/>
        <v>-3767.9060611500017</v>
      </c>
      <c r="V66" s="263">
        <f t="shared" si="49"/>
        <v>-3082.8322318500009</v>
      </c>
      <c r="W66" s="263">
        <f t="shared" si="49"/>
        <v>-2397.7584025500009</v>
      </c>
      <c r="X66" s="263">
        <f t="shared" si="49"/>
        <v>-1712.6845732500003</v>
      </c>
      <c r="Y66" s="263">
        <f t="shared" si="49"/>
        <v>-1027.6107439500001</v>
      </c>
      <c r="Z66" s="263">
        <f t="shared" si="49"/>
        <v>-342.53691465000003</v>
      </c>
      <c r="AA66" s="263">
        <f t="shared" si="49"/>
        <v>0</v>
      </c>
      <c r="AB66" s="263">
        <f t="shared" si="49"/>
        <v>0</v>
      </c>
      <c r="AC66" s="263">
        <f t="shared" si="49"/>
        <v>0</v>
      </c>
      <c r="AD66" s="263">
        <f t="shared" si="49"/>
        <v>0</v>
      </c>
      <c r="AE66" s="263">
        <f t="shared" si="49"/>
        <v>0</v>
      </c>
      <c r="AF66" s="263">
        <f t="shared" si="49"/>
        <v>0</v>
      </c>
      <c r="AG66" s="263">
        <f t="shared" si="49"/>
        <v>0</v>
      </c>
      <c r="AH66" s="263">
        <f t="shared" si="49"/>
        <v>0</v>
      </c>
      <c r="AI66" s="263">
        <f t="shared" si="49"/>
        <v>0</v>
      </c>
      <c r="AJ66" s="263">
        <f t="shared" si="49"/>
        <v>0</v>
      </c>
      <c r="AK66" s="263">
        <f t="shared" si="49"/>
        <v>0</v>
      </c>
      <c r="AL66" s="263">
        <f t="shared" si="49"/>
        <v>0</v>
      </c>
      <c r="AM66" s="263">
        <f t="shared" si="49"/>
        <v>0</v>
      </c>
      <c r="AN66" s="263">
        <f t="shared" si="49"/>
        <v>0</v>
      </c>
      <c r="AO66" s="263">
        <f t="shared" si="49"/>
        <v>0</v>
      </c>
      <c r="AP66" s="263">
        <f t="shared" si="49"/>
        <v>0</v>
      </c>
      <c r="AQ66" s="263">
        <f t="shared" si="49"/>
        <v>0</v>
      </c>
      <c r="AR66" s="263">
        <f t="shared" si="49"/>
        <v>0</v>
      </c>
      <c r="AS66" s="263">
        <f t="shared" si="49"/>
        <v>0</v>
      </c>
      <c r="AT66" s="263">
        <f t="shared" si="49"/>
        <v>0</v>
      </c>
      <c r="AU66" s="263">
        <f t="shared" si="49"/>
        <v>0</v>
      </c>
      <c r="AV66" s="53"/>
      <c r="AW66" s="53"/>
      <c r="AX66" s="53"/>
      <c r="AY66" s="53"/>
      <c r="AZ66" s="53"/>
      <c r="BA66" s="53"/>
    </row>
    <row r="67" spans="1:53" ht="20" customHeight="1" x14ac:dyDescent="0.25">
      <c r="A67" s="120"/>
      <c r="B67" s="128"/>
      <c r="C67" s="123"/>
      <c r="D67" s="123"/>
      <c r="E67" s="123"/>
      <c r="F67" s="123"/>
      <c r="G67" s="123"/>
      <c r="H67" s="123"/>
      <c r="I67" s="123"/>
      <c r="J67" s="185"/>
      <c r="K67" s="185"/>
      <c r="L67" s="185"/>
      <c r="M67" s="185"/>
      <c r="N67" s="185"/>
      <c r="O67" s="185"/>
      <c r="P67" s="185"/>
      <c r="Q67" s="185"/>
      <c r="R67" s="185"/>
      <c r="S67" s="185"/>
      <c r="T67" s="185"/>
      <c r="U67" s="185"/>
      <c r="V67" s="185"/>
      <c r="W67" s="185"/>
      <c r="X67" s="185"/>
      <c r="Y67" s="185"/>
      <c r="Z67" s="185"/>
      <c r="AA67" s="185"/>
      <c r="AB67" s="185"/>
      <c r="AC67" s="185"/>
      <c r="AD67" s="185"/>
      <c r="AE67" s="185"/>
      <c r="AF67" s="185"/>
      <c r="AG67" s="185"/>
      <c r="AH67" s="185"/>
      <c r="AI67" s="185"/>
      <c r="AJ67" s="185"/>
      <c r="AK67" s="185"/>
      <c r="AL67" s="185"/>
      <c r="AM67" s="185"/>
      <c r="AN67" s="185"/>
      <c r="AO67" s="185"/>
      <c r="AP67" s="46"/>
      <c r="AQ67" s="46"/>
      <c r="AR67" s="46"/>
      <c r="AS67" s="46"/>
      <c r="AT67" s="46"/>
      <c r="AU67" s="46"/>
      <c r="AV67" s="46"/>
      <c r="AW67" s="46"/>
      <c r="AX67" s="46"/>
      <c r="AY67" s="46"/>
      <c r="AZ67" s="46"/>
      <c r="BA67" s="46"/>
    </row>
    <row r="68" spans="1:53" x14ac:dyDescent="0.25">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92"/>
      <c r="AJ68" s="192"/>
      <c r="AK68" s="192"/>
      <c r="AL68" s="192"/>
      <c r="AM68" s="192"/>
      <c r="AN68" s="192"/>
      <c r="AO68" s="192"/>
    </row>
    <row r="69" spans="1:53" x14ac:dyDescent="0.25">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92"/>
      <c r="AJ69" s="192"/>
      <c r="AK69" s="192"/>
      <c r="AL69" s="192"/>
      <c r="AM69" s="192"/>
      <c r="AN69" s="192"/>
      <c r="AO69" s="192"/>
    </row>
    <row r="70" spans="1:53" x14ac:dyDescent="0.25">
      <c r="J70" s="192"/>
      <c r="K70" s="192"/>
      <c r="L70" s="192"/>
      <c r="M70" s="192"/>
      <c r="N70" s="192"/>
      <c r="O70" s="192"/>
      <c r="P70" s="192"/>
      <c r="Q70" s="192"/>
      <c r="R70" s="192"/>
      <c r="S70" s="192"/>
      <c r="T70" s="192"/>
      <c r="U70" s="192"/>
      <c r="V70" s="192"/>
      <c r="W70" s="192"/>
      <c r="X70" s="192"/>
      <c r="Y70" s="192"/>
      <c r="Z70" s="192"/>
      <c r="AA70" s="192"/>
      <c r="AB70" s="192"/>
      <c r="AC70" s="192"/>
      <c r="AD70" s="192"/>
      <c r="AE70" s="192"/>
      <c r="AF70" s="192"/>
      <c r="AG70" s="192"/>
      <c r="AH70" s="192"/>
      <c r="AI70" s="192"/>
      <c r="AJ70" s="192"/>
      <c r="AK70" s="192"/>
      <c r="AL70" s="192"/>
      <c r="AM70" s="192"/>
      <c r="AN70" s="192"/>
      <c r="AO70" s="192"/>
    </row>
    <row r="71" spans="1:53" x14ac:dyDescent="0.25">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2"/>
      <c r="AK71" s="192"/>
      <c r="AL71" s="192"/>
      <c r="AM71" s="192"/>
      <c r="AN71" s="192"/>
      <c r="AO71" s="192"/>
    </row>
  </sheetData>
  <mergeCells count="2">
    <mergeCell ref="J3:Q3"/>
    <mergeCell ref="AP26:BA27"/>
  </mergeCells>
  <conditionalFormatting sqref="J38:AU38">
    <cfRule type="cellIs" dxfId="0" priority="1" operator="greaterThan">
      <formula>0</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190500</xdr:colOff>
                    <xdr:row>32</xdr:row>
                    <xdr:rowOff>0</xdr:rowOff>
                  </from>
                  <to>
                    <xdr:col>4</xdr:col>
                    <xdr:colOff>412750</xdr:colOff>
                    <xdr:row>32</xdr:row>
                    <xdr:rowOff>196850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4</xdr:col>
                    <xdr:colOff>292100</xdr:colOff>
                    <xdr:row>46</xdr:row>
                    <xdr:rowOff>0</xdr:rowOff>
                  </from>
                  <to>
                    <xdr:col>4</xdr:col>
                    <xdr:colOff>609600</xdr:colOff>
                    <xdr:row>46</xdr:row>
                    <xdr:rowOff>222250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from>
                    <xdr:col>4</xdr:col>
                    <xdr:colOff>292100</xdr:colOff>
                    <xdr:row>58</xdr:row>
                    <xdr:rowOff>234950</xdr:rowOff>
                  </from>
                  <to>
                    <xdr:col>4</xdr:col>
                    <xdr:colOff>615950</xdr:colOff>
                    <xdr:row>59</xdr:row>
                    <xdr:rowOff>215900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U31"/>
  <sheetViews>
    <sheetView showGridLines="0" zoomScale="90" zoomScaleNormal="90" workbookViewId="0">
      <selection activeCell="E19" sqref="E19"/>
    </sheetView>
  </sheetViews>
  <sheetFormatPr defaultColWidth="7.9140625" defaultRowHeight="12.5" x14ac:dyDescent="0.25"/>
  <cols>
    <col min="1" max="1" width="2.4140625" style="32" customWidth="1"/>
    <col min="2" max="2" width="40.58203125" style="54" customWidth="1"/>
    <col min="3" max="3" width="2.58203125" style="54" customWidth="1"/>
    <col min="4" max="4" width="23" style="54" customWidth="1"/>
    <col min="5" max="5" width="10.58203125" style="54" customWidth="1"/>
    <col min="6" max="6" width="7.9140625" style="54"/>
    <col min="7" max="7" width="7.6640625" style="54" customWidth="1"/>
    <col min="8" max="8" width="7.9140625" style="54" customWidth="1"/>
    <col min="9" max="11" width="7.9140625" style="54"/>
    <col min="12" max="12" width="8.4140625" style="54" customWidth="1"/>
    <col min="13" max="16384" width="7.9140625" style="54"/>
  </cols>
  <sheetData>
    <row r="2" spans="1:21" s="32" customFormat="1" ht="28.25" customHeight="1" x14ac:dyDescent="0.25">
      <c r="B2" s="328" t="str">
        <f>Pieņēmumi!D2</f>
        <v>-</v>
      </c>
    </row>
    <row r="3" spans="1:21" s="59" customFormat="1" ht="20" customHeight="1" x14ac:dyDescent="0.3">
      <c r="A3" s="147"/>
      <c r="B3" s="360" t="s">
        <v>54</v>
      </c>
      <c r="C3" s="360"/>
      <c r="D3" s="360"/>
      <c r="E3" s="360"/>
    </row>
    <row r="4" spans="1:21" s="59" customFormat="1" ht="30.65" customHeight="1" x14ac:dyDescent="0.3">
      <c r="A4" s="113"/>
      <c r="B4" s="232" t="s">
        <v>55</v>
      </c>
      <c r="C4" s="232"/>
      <c r="D4" s="232"/>
      <c r="E4" s="233"/>
      <c r="F4" s="219"/>
      <c r="G4" s="362" t="s">
        <v>56</v>
      </c>
      <c r="H4" s="362"/>
      <c r="I4" s="362"/>
      <c r="L4" s="220"/>
    </row>
    <row r="5" spans="1:21" s="59" customFormat="1" ht="20" customHeight="1" x14ac:dyDescent="0.3">
      <c r="A5" s="120"/>
      <c r="B5" s="235" t="s">
        <v>98</v>
      </c>
      <c r="C5" s="235"/>
      <c r="D5" s="235"/>
      <c r="E5" s="236">
        <v>0.14799999999999999</v>
      </c>
      <c r="F5" s="224"/>
      <c r="G5" s="313" t="s">
        <v>239</v>
      </c>
      <c r="H5" s="313"/>
      <c r="I5" s="313"/>
      <c r="J5" s="313"/>
      <c r="K5" s="313"/>
      <c r="L5" s="313"/>
      <c r="M5" s="313"/>
      <c r="N5" s="313"/>
      <c r="O5" s="313"/>
      <c r="P5" s="313"/>
      <c r="Q5" s="313"/>
      <c r="R5" s="313"/>
      <c r="S5" s="313"/>
      <c r="T5" s="313"/>
    </row>
    <row r="6" spans="1:21" s="59" customFormat="1" ht="20" customHeight="1" x14ac:dyDescent="0.3">
      <c r="A6" s="120"/>
      <c r="B6" s="235" t="s">
        <v>99</v>
      </c>
      <c r="C6" s="235"/>
      <c r="D6" s="235"/>
      <c r="E6" s="316">
        <f>((Finansējums!G18/SUM(Finansējums!G18:G20))*Pieņēmumi!D57+Pieņēmumi!D61*(Finansējums!G19/SUM(Finansējums!G18:G20))+Pieņēmumi!D65*(Finansējums!G20/SUM(Finansējums!G18:G20)))*(1-Pieņēmumi!D9)</f>
        <v>2.2927635557347312E-2</v>
      </c>
      <c r="F6" s="225"/>
      <c r="G6" s="313" t="s">
        <v>237</v>
      </c>
      <c r="H6" s="313"/>
      <c r="I6" s="313"/>
      <c r="J6" s="313"/>
      <c r="K6" s="313"/>
      <c r="L6" s="313"/>
      <c r="M6" s="313"/>
      <c r="N6" s="313"/>
      <c r="O6" s="313"/>
      <c r="P6" s="313"/>
      <c r="Q6" s="313"/>
      <c r="R6" s="313"/>
      <c r="S6" s="313"/>
    </row>
    <row r="7" spans="1:21" s="59" customFormat="1" ht="20" customHeight="1" x14ac:dyDescent="0.3">
      <c r="A7" s="120"/>
      <c r="B7" s="232" t="s">
        <v>61</v>
      </c>
      <c r="C7" s="232"/>
      <c r="D7" s="233" t="s">
        <v>57</v>
      </c>
      <c r="E7" s="233" t="s">
        <v>3</v>
      </c>
      <c r="F7" s="222"/>
      <c r="G7" s="226"/>
    </row>
    <row r="8" spans="1:21" s="59" customFormat="1" ht="20" customHeight="1" x14ac:dyDescent="0.3">
      <c r="A8" s="120"/>
      <c r="B8" s="60" t="s">
        <v>100</v>
      </c>
      <c r="C8" s="227"/>
      <c r="D8" s="227">
        <v>0.48699999999999999</v>
      </c>
      <c r="E8" s="229">
        <f>D8*E5</f>
        <v>7.2076000000000001E-2</v>
      </c>
      <c r="F8" s="228"/>
      <c r="G8" s="226" t="s">
        <v>238</v>
      </c>
    </row>
    <row r="9" spans="1:21" s="59" customFormat="1" ht="20" customHeight="1" x14ac:dyDescent="0.3">
      <c r="A9" s="120"/>
      <c r="B9" s="234" t="s">
        <v>99</v>
      </c>
      <c r="C9" s="229"/>
      <c r="D9" s="229">
        <v>0.51300000000000001</v>
      </c>
      <c r="E9" s="229">
        <f>D9*E6</f>
        <v>1.1761877040919171E-2</v>
      </c>
      <c r="F9" s="228"/>
      <c r="G9" s="226"/>
    </row>
    <row r="10" spans="1:21" s="59" customFormat="1" ht="20" customHeight="1" x14ac:dyDescent="0.3">
      <c r="A10" s="120"/>
      <c r="B10" s="237" t="s">
        <v>147</v>
      </c>
      <c r="C10" s="237"/>
      <c r="D10" s="237"/>
      <c r="E10" s="315">
        <f>SUM(E8+E9)</f>
        <v>8.3837877040919176E-2</v>
      </c>
      <c r="F10" s="230"/>
    </row>
    <row r="11" spans="1:21" s="59" customFormat="1" ht="20" customHeight="1" x14ac:dyDescent="0.3">
      <c r="A11" s="120"/>
      <c r="B11" s="60"/>
      <c r="C11" s="221"/>
      <c r="D11" s="221"/>
      <c r="E11" s="231"/>
      <c r="G11" s="223"/>
    </row>
    <row r="12" spans="1:21" s="59" customFormat="1" ht="20" customHeight="1" x14ac:dyDescent="0.3">
      <c r="A12" s="120"/>
      <c r="B12" s="60"/>
      <c r="C12" s="221"/>
      <c r="D12" s="221"/>
      <c r="E12" s="231"/>
      <c r="G12" s="223"/>
    </row>
    <row r="13" spans="1:21" ht="13" x14ac:dyDescent="0.3">
      <c r="A13" s="120"/>
      <c r="B13" s="60"/>
      <c r="E13" s="363" t="s">
        <v>122</v>
      </c>
      <c r="F13" s="363"/>
      <c r="G13" s="364" t="s">
        <v>143</v>
      </c>
      <c r="H13" s="364"/>
      <c r="I13" s="364"/>
      <c r="J13" s="62"/>
      <c r="K13" s="62"/>
    </row>
    <row r="14" spans="1:21" ht="30.65" customHeight="1" x14ac:dyDescent="0.25">
      <c r="A14" s="120"/>
      <c r="B14" s="361" t="s">
        <v>222</v>
      </c>
      <c r="C14" s="361"/>
      <c r="D14" s="361"/>
      <c r="E14" s="173" t="s">
        <v>164</v>
      </c>
      <c r="F14" s="173" t="s">
        <v>165</v>
      </c>
      <c r="G14" s="173" t="s">
        <v>166</v>
      </c>
      <c r="H14" s="173" t="s">
        <v>180</v>
      </c>
      <c r="I14" s="173" t="s">
        <v>181</v>
      </c>
      <c r="J14" s="173" t="s">
        <v>182</v>
      </c>
      <c r="K14" s="173" t="s">
        <v>183</v>
      </c>
      <c r="L14" s="173" t="s">
        <v>184</v>
      </c>
      <c r="M14" s="173" t="s">
        <v>185</v>
      </c>
      <c r="N14" s="173" t="s">
        <v>186</v>
      </c>
      <c r="O14" s="173" t="s">
        <v>187</v>
      </c>
      <c r="P14" s="173" t="s">
        <v>188</v>
      </c>
      <c r="Q14" s="173" t="s">
        <v>189</v>
      </c>
      <c r="R14" s="173" t="s">
        <v>190</v>
      </c>
      <c r="S14" s="173" t="s">
        <v>191</v>
      </c>
      <c r="T14" s="173" t="s">
        <v>192</v>
      </c>
      <c r="U14" s="173" t="s">
        <v>193</v>
      </c>
    </row>
    <row r="15" spans="1:21" x14ac:dyDescent="0.25">
      <c r="A15" s="120"/>
      <c r="B15" s="61" t="s">
        <v>257</v>
      </c>
      <c r="E15" s="206">
        <v>0.03</v>
      </c>
      <c r="F15" s="206">
        <v>0.03</v>
      </c>
      <c r="G15" s="206">
        <v>0.03</v>
      </c>
      <c r="H15" s="206">
        <v>0.03</v>
      </c>
      <c r="I15" s="206">
        <v>0.03</v>
      </c>
      <c r="J15" s="206">
        <v>0.03</v>
      </c>
      <c r="K15" s="206">
        <v>0.03</v>
      </c>
      <c r="L15" s="206">
        <v>0.03</v>
      </c>
      <c r="M15" s="206">
        <v>0.03</v>
      </c>
      <c r="N15" s="206">
        <v>0.03</v>
      </c>
      <c r="O15" s="206">
        <v>0.03</v>
      </c>
      <c r="P15" s="206">
        <v>0.03</v>
      </c>
      <c r="Q15" s="206">
        <v>0.03</v>
      </c>
      <c r="R15" s="206">
        <v>0.03</v>
      </c>
      <c r="S15" s="206">
        <v>0.03</v>
      </c>
      <c r="T15" s="206">
        <v>0.03</v>
      </c>
      <c r="U15" s="206">
        <v>0.03</v>
      </c>
    </row>
    <row r="16" spans="1:21" x14ac:dyDescent="0.25">
      <c r="A16" s="120"/>
      <c r="B16" s="61" t="s">
        <v>258</v>
      </c>
      <c r="E16" s="206">
        <v>3.5000000000000003E-2</v>
      </c>
      <c r="F16" s="206">
        <v>3.5000000000000003E-2</v>
      </c>
      <c r="G16" s="206">
        <v>3.5000000000000003E-2</v>
      </c>
      <c r="H16" s="206">
        <v>3.5000000000000003E-2</v>
      </c>
      <c r="I16" s="206">
        <v>3.5000000000000003E-2</v>
      </c>
      <c r="J16" s="206">
        <v>3.5000000000000003E-2</v>
      </c>
      <c r="K16" s="206">
        <v>3.5000000000000003E-2</v>
      </c>
      <c r="L16" s="206">
        <v>3.5000000000000003E-2</v>
      </c>
      <c r="M16" s="206">
        <v>3.5000000000000003E-2</v>
      </c>
      <c r="N16" s="206">
        <v>3.5000000000000003E-2</v>
      </c>
      <c r="O16" s="206">
        <v>3.5000000000000003E-2</v>
      </c>
      <c r="P16" s="206">
        <v>3.5000000000000003E-2</v>
      </c>
      <c r="Q16" s="206">
        <v>3.5000000000000003E-2</v>
      </c>
      <c r="R16" s="206">
        <v>3.5000000000000003E-2</v>
      </c>
      <c r="S16" s="206">
        <v>3.5000000000000003E-2</v>
      </c>
      <c r="T16" s="206">
        <v>3.5000000000000003E-2</v>
      </c>
      <c r="U16" s="206">
        <v>3.5000000000000003E-2</v>
      </c>
    </row>
    <row r="17" spans="1:21" x14ac:dyDescent="0.25">
      <c r="A17" s="120"/>
      <c r="B17" s="63" t="s">
        <v>149</v>
      </c>
      <c r="E17" s="206">
        <v>4.2500000000000003E-2</v>
      </c>
      <c r="F17" s="206">
        <v>4.2500000000000003E-2</v>
      </c>
      <c r="G17" s="206">
        <v>4.2500000000000003E-2</v>
      </c>
      <c r="H17" s="206">
        <v>4.2500000000000003E-2</v>
      </c>
      <c r="I17" s="206">
        <v>4.2500000000000003E-2</v>
      </c>
      <c r="J17" s="206">
        <v>4.2500000000000003E-2</v>
      </c>
      <c r="K17" s="206">
        <v>4.2500000000000003E-2</v>
      </c>
      <c r="L17" s="206">
        <v>4.2500000000000003E-2</v>
      </c>
      <c r="M17" s="206">
        <v>4.2500000000000003E-2</v>
      </c>
      <c r="N17" s="206">
        <v>4.2500000000000003E-2</v>
      </c>
      <c r="O17" s="206">
        <v>4.2500000000000003E-2</v>
      </c>
      <c r="P17" s="206">
        <v>4.2500000000000003E-2</v>
      </c>
      <c r="Q17" s="206">
        <v>4.2500000000000003E-2</v>
      </c>
      <c r="R17" s="206">
        <v>4.2500000000000003E-2</v>
      </c>
      <c r="S17" s="206">
        <v>4.2500000000000003E-2</v>
      </c>
      <c r="T17" s="206">
        <v>4.2500000000000003E-2</v>
      </c>
      <c r="U17" s="206">
        <v>4.2500000000000003E-2</v>
      </c>
    </row>
    <row r="18" spans="1:21" x14ac:dyDescent="0.25">
      <c r="A18" s="120"/>
      <c r="B18" s="61" t="s">
        <v>99</v>
      </c>
      <c r="E18" s="280">
        <f>((Finansējums!$G$18/SUM(Finansējums!$G$18:$G$20))*E15+E16*(Finansējums!$G$19/SUM(Finansējums!$G$18:$G$20))+E17*(Finansējums!$G$20/SUM(Finansējums!$G$18:$G$20)))*(1-Pieņēmumi!$D$9)</f>
        <v>2.6102578099607567E-2</v>
      </c>
      <c r="F18" s="280">
        <f>((Finansējums!$G$18/SUM(Finansējums!$G$18:$G$20))*F15+F16*(Finansējums!$G$19/SUM(Finansējums!$G$18:$G$20))+F17*(Finansējums!$G$20/SUM(Finansējums!$G$18:$G$20)))*(1-Pieņēmumi!$D$9)</f>
        <v>2.6102578099607567E-2</v>
      </c>
      <c r="G18" s="280">
        <f>((Finansējums!$G$18/SUM(Finansējums!$G$18:$G$20))*G15+G16*(Finansējums!$G$19/SUM(Finansējums!$G$18:$G$20))+G17*(Finansējums!$G$20/SUM(Finansējums!$G$18:$G$20)))*(1-Pieņēmumi!$D$9)</f>
        <v>2.6102578099607567E-2</v>
      </c>
      <c r="H18" s="280">
        <f>((Finansējums!$G$18/SUM(Finansējums!$G$18:$G$20))*H15+H16*(Finansējums!$G$19/SUM(Finansējums!$G$18:$G$20))+H17*(Finansējums!$G$20/SUM(Finansējums!$G$18:$G$20)))*(1-Pieņēmumi!$D$9)</f>
        <v>2.6102578099607567E-2</v>
      </c>
      <c r="I18" s="280">
        <f>((Finansējums!$G$18/SUM(Finansējums!$G$18:$G$20))*I15+I16*(Finansējums!$G$19/SUM(Finansējums!$G$18:$G$20))+I17*(Finansējums!$G$20/SUM(Finansējums!$G$18:$G$20)))*(1-Pieņēmumi!$D$9)</f>
        <v>2.6102578099607567E-2</v>
      </c>
      <c r="J18" s="280">
        <f>((Finansējums!$G$18/SUM(Finansējums!$G$18:$G$20))*J15+J16*(Finansējums!$G$19/SUM(Finansējums!$G$18:$G$20))+J17*(Finansējums!$G$20/SUM(Finansējums!$G$18:$G$20)))*(1-Pieņēmumi!$D$9)</f>
        <v>2.6102578099607567E-2</v>
      </c>
      <c r="K18" s="280">
        <f>((Finansējums!$G$18/SUM(Finansējums!$G$18:$G$20))*K15+K16*(Finansējums!$G$19/SUM(Finansējums!$G$18:$G$20))+K17*(Finansējums!$G$20/SUM(Finansējums!$G$18:$G$20)))*(1-Pieņēmumi!$D$9)</f>
        <v>2.6102578099607567E-2</v>
      </c>
      <c r="L18" s="280">
        <f>((Finansējums!$G$18/SUM(Finansējums!$G$18:$G$20))*L15+L16*(Finansējums!$G$19/SUM(Finansējums!$G$18:$G$20))+L17*(Finansējums!$G$20/SUM(Finansējums!$G$18:$G$20)))*(1-Pieņēmumi!$D$9)</f>
        <v>2.6102578099607567E-2</v>
      </c>
      <c r="M18" s="280">
        <f>((Finansējums!$G$18/SUM(Finansējums!$G$18:$G$20))*M15+M16*(Finansējums!$G$19/SUM(Finansējums!$G$18:$G$20))+M17*(Finansējums!$G$20/SUM(Finansējums!$G$18:$G$20)))*(1-Pieņēmumi!$D$9)</f>
        <v>2.6102578099607567E-2</v>
      </c>
      <c r="N18" s="280">
        <f>((Finansējums!$G$18/SUM(Finansējums!$G$18:$G$20))*N15+N16*(Finansējums!$G$19/SUM(Finansējums!$G$18:$G$20))+N17*(Finansējums!$G$20/SUM(Finansējums!$G$18:$G$20)))*(1-Pieņēmumi!$D$9)</f>
        <v>2.6102578099607567E-2</v>
      </c>
      <c r="O18" s="280">
        <f>((Finansējums!$G$18/SUM(Finansējums!$G$18:$G$20))*O15+O16*(Finansējums!$G$19/SUM(Finansējums!$G$18:$G$20))+O17*(Finansējums!$G$20/SUM(Finansējums!$G$18:$G$20)))*(1-Pieņēmumi!$D$9)</f>
        <v>2.6102578099607567E-2</v>
      </c>
      <c r="P18" s="280">
        <f>((Finansējums!$G$18/SUM(Finansējums!$G$18:$G$20))*P15+P16*(Finansējums!$G$19/SUM(Finansējums!$G$18:$G$20))+P17*(Finansējums!$G$20/SUM(Finansējums!$G$18:$G$20)))*(1-Pieņēmumi!$D$9)</f>
        <v>2.6102578099607567E-2</v>
      </c>
      <c r="Q18" s="280">
        <f>((Finansējums!$G$18/SUM(Finansējums!$G$18:$G$20))*Q15+Q16*(Finansējums!$G$19/SUM(Finansējums!$G$18:$G$20))+Q17*(Finansējums!$G$20/SUM(Finansējums!$G$18:$G$20)))*(1-Pieņēmumi!$D$9)</f>
        <v>2.6102578099607567E-2</v>
      </c>
      <c r="R18" s="280">
        <f>((Finansējums!$G$18/SUM(Finansējums!$G$18:$G$20))*R15+R16*(Finansējums!$G$19/SUM(Finansējums!$G$18:$G$20))+R17*(Finansējums!$G$20/SUM(Finansējums!$G$18:$G$20)))*(1-Pieņēmumi!$D$9)</f>
        <v>2.6102578099607567E-2</v>
      </c>
      <c r="S18" s="280">
        <f>((Finansējums!$G$18/SUM(Finansējums!$G$18:$G$20))*S15+S16*(Finansējums!$G$19/SUM(Finansējums!$G$18:$G$20))+S17*(Finansējums!$G$20/SUM(Finansējums!$G$18:$G$20)))*(1-Pieņēmumi!$D$9)</f>
        <v>2.6102578099607567E-2</v>
      </c>
      <c r="T18" s="280">
        <f>((Finansējums!$G$18/SUM(Finansējums!$G$18:$G$20))*T15+T16*(Finansējums!$G$19/SUM(Finansējums!$G$18:$G$20))+T17*(Finansējums!$G$20/SUM(Finansējums!$G$18:$G$20)))*(1-Pieņēmumi!$D$9)</f>
        <v>2.6102578099607567E-2</v>
      </c>
      <c r="U18" s="280">
        <f>((Finansējums!$G$18/SUM(Finansējums!$G$18:$G$20))*U15+U16*(Finansējums!$G$19/SUM(Finansējums!$G$18:$G$20))+U17*(Finansējums!$G$20/SUM(Finansējums!$G$18:$G$20)))*(1-Pieņēmumi!$D$9)</f>
        <v>2.6102578099607567E-2</v>
      </c>
    </row>
    <row r="19" spans="1:21" s="59" customFormat="1" ht="20" customHeight="1" x14ac:dyDescent="0.3">
      <c r="A19" s="120"/>
      <c r="B19" s="237" t="s">
        <v>148</v>
      </c>
      <c r="C19" s="237"/>
      <c r="D19" s="237"/>
      <c r="E19" s="238">
        <f>$D$8*$E$5+$D$9*E18</f>
        <v>8.5466622565098682E-2</v>
      </c>
      <c r="F19" s="238">
        <f t="shared" ref="F19:U19" si="0">$D$8*$E$5+$D$9*F18</f>
        <v>8.5466622565098682E-2</v>
      </c>
      <c r="G19" s="238">
        <f t="shared" si="0"/>
        <v>8.5466622565098682E-2</v>
      </c>
      <c r="H19" s="238">
        <f t="shared" si="0"/>
        <v>8.5466622565098682E-2</v>
      </c>
      <c r="I19" s="238">
        <f t="shared" si="0"/>
        <v>8.5466622565098682E-2</v>
      </c>
      <c r="J19" s="238">
        <f t="shared" si="0"/>
        <v>8.5466622565098682E-2</v>
      </c>
      <c r="K19" s="238">
        <f t="shared" si="0"/>
        <v>8.5466622565098682E-2</v>
      </c>
      <c r="L19" s="238">
        <f t="shared" si="0"/>
        <v>8.5466622565098682E-2</v>
      </c>
      <c r="M19" s="238">
        <f t="shared" si="0"/>
        <v>8.5466622565098682E-2</v>
      </c>
      <c r="N19" s="238">
        <f t="shared" si="0"/>
        <v>8.5466622565098682E-2</v>
      </c>
      <c r="O19" s="238">
        <f t="shared" si="0"/>
        <v>8.5466622565098682E-2</v>
      </c>
      <c r="P19" s="238">
        <f t="shared" si="0"/>
        <v>8.5466622565098682E-2</v>
      </c>
      <c r="Q19" s="238">
        <f t="shared" si="0"/>
        <v>8.5466622565098682E-2</v>
      </c>
      <c r="R19" s="238">
        <f t="shared" si="0"/>
        <v>8.5466622565098682E-2</v>
      </c>
      <c r="S19" s="238">
        <f t="shared" si="0"/>
        <v>8.5466622565098682E-2</v>
      </c>
      <c r="T19" s="238">
        <f t="shared" si="0"/>
        <v>8.5466622565098682E-2</v>
      </c>
      <c r="U19" s="238">
        <f t="shared" si="0"/>
        <v>8.5466622565098682E-2</v>
      </c>
    </row>
    <row r="20" spans="1:21" x14ac:dyDescent="0.25">
      <c r="A20" s="120"/>
      <c r="C20" s="55"/>
    </row>
    <row r="21" spans="1:21" ht="13" x14ac:dyDescent="0.25">
      <c r="A21" s="147"/>
    </row>
    <row r="22" spans="1:21" x14ac:dyDescent="0.25">
      <c r="A22" s="120"/>
    </row>
    <row r="23" spans="1:21" x14ac:dyDescent="0.25">
      <c r="A23" s="120"/>
    </row>
    <row r="24" spans="1:21" x14ac:dyDescent="0.25">
      <c r="A24" s="126"/>
    </row>
    <row r="25" spans="1:21" x14ac:dyDescent="0.25">
      <c r="A25" s="126"/>
    </row>
    <row r="26" spans="1:21" x14ac:dyDescent="0.25">
      <c r="A26" s="126"/>
    </row>
    <row r="27" spans="1:21" x14ac:dyDescent="0.25">
      <c r="A27" s="126"/>
    </row>
    <row r="28" spans="1:21" x14ac:dyDescent="0.25">
      <c r="A28" s="126"/>
    </row>
    <row r="29" spans="1:21" x14ac:dyDescent="0.25">
      <c r="A29" s="126"/>
    </row>
    <row r="30" spans="1:21" x14ac:dyDescent="0.25">
      <c r="A30" s="126"/>
    </row>
    <row r="31" spans="1:21" x14ac:dyDescent="0.25">
      <c r="A31" s="126"/>
    </row>
  </sheetData>
  <mergeCells count="5">
    <mergeCell ref="B3:E3"/>
    <mergeCell ref="B14:D14"/>
    <mergeCell ref="G4:I4"/>
    <mergeCell ref="E13:F13"/>
    <mergeCell ref="G13:I13"/>
  </mergeCells>
  <pageMargins left="0.6" right="0.6" top="1" bottom="1" header="0.5" footer="0.5"/>
  <pageSetup paperSize="9" scale="82" orientation="landscape" r:id="rId1"/>
  <headerFooter>
    <oddHeader>&amp;RDraft - Work in Progress</oddHeader>
    <oddFooter>&amp;L&amp;F
&amp;D, &amp;T&amp;C
Page &amp;P of &amp;N&amp;R&amp;A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BF42"/>
  <sheetViews>
    <sheetView showGridLines="0" topLeftCell="A16" zoomScaleNormal="100" workbookViewId="0">
      <selection activeCell="B34" sqref="B34"/>
    </sheetView>
  </sheetViews>
  <sheetFormatPr defaultColWidth="8.6640625" defaultRowHeight="12.5" x14ac:dyDescent="0.25"/>
  <cols>
    <col min="1" max="1" width="4" style="32" customWidth="1"/>
    <col min="2" max="2" width="47.1640625" style="32" customWidth="1"/>
    <col min="3" max="3" width="8.6640625" style="37"/>
    <col min="4" max="5" width="12.5" style="32" customWidth="1"/>
    <col min="6" max="6" width="12" style="32" customWidth="1"/>
    <col min="7" max="29" width="10" style="32" customWidth="1"/>
    <col min="30" max="34" width="10.4140625" style="32" customWidth="1"/>
    <col min="35" max="39" width="11.5" style="32" customWidth="1"/>
    <col min="40" max="49" width="12" style="32" customWidth="1"/>
    <col min="50" max="53" width="12.5" style="32" customWidth="1"/>
    <col min="54" max="16384" width="8.6640625" style="32"/>
  </cols>
  <sheetData>
    <row r="2" spans="2:58" s="40" customFormat="1" ht="13" x14ac:dyDescent="0.3">
      <c r="B2" s="39"/>
      <c r="C2" s="39"/>
      <c r="D2" s="41">
        <v>1</v>
      </c>
      <c r="E2" s="41">
        <v>2</v>
      </c>
      <c r="F2" s="41">
        <v>3</v>
      </c>
      <c r="G2" s="41">
        <v>4</v>
      </c>
      <c r="H2" s="41">
        <v>5</v>
      </c>
      <c r="I2" s="41">
        <v>6</v>
      </c>
      <c r="J2" s="41">
        <v>7</v>
      </c>
      <c r="K2" s="41">
        <v>8</v>
      </c>
      <c r="L2" s="41">
        <v>9</v>
      </c>
      <c r="M2" s="41">
        <v>10</v>
      </c>
      <c r="N2" s="41">
        <v>11</v>
      </c>
      <c r="O2" s="41">
        <v>12</v>
      </c>
      <c r="P2" s="41">
        <v>13</v>
      </c>
      <c r="Q2" s="41">
        <v>14</v>
      </c>
      <c r="R2" s="41">
        <v>15</v>
      </c>
      <c r="S2" s="41">
        <v>16</v>
      </c>
      <c r="T2" s="41">
        <v>17</v>
      </c>
      <c r="U2" s="41">
        <v>18</v>
      </c>
      <c r="V2" s="41">
        <v>19</v>
      </c>
      <c r="W2" s="41">
        <v>20</v>
      </c>
      <c r="X2" s="41">
        <v>21</v>
      </c>
      <c r="Y2" s="41">
        <v>22</v>
      </c>
      <c r="Z2" s="41">
        <v>23</v>
      </c>
      <c r="AA2" s="41">
        <v>24</v>
      </c>
      <c r="AB2" s="41">
        <v>25</v>
      </c>
      <c r="AC2" s="41">
        <v>26</v>
      </c>
      <c r="AD2" s="41">
        <v>27</v>
      </c>
      <c r="AE2" s="41">
        <v>28</v>
      </c>
      <c r="AF2" s="41">
        <v>29</v>
      </c>
      <c r="AG2" s="41">
        <v>30</v>
      </c>
      <c r="AH2" s="41">
        <v>31</v>
      </c>
      <c r="AI2" s="41">
        <v>32</v>
      </c>
      <c r="AJ2" s="41">
        <v>33</v>
      </c>
      <c r="AK2" s="41">
        <v>34</v>
      </c>
      <c r="AL2" s="41">
        <v>35</v>
      </c>
      <c r="AM2" s="41">
        <v>36</v>
      </c>
      <c r="AN2" s="41">
        <v>37</v>
      </c>
      <c r="AO2" s="41">
        <v>38</v>
      </c>
      <c r="AP2" s="41">
        <v>39</v>
      </c>
      <c r="AQ2" s="41">
        <v>40</v>
      </c>
      <c r="AR2" s="41">
        <v>41</v>
      </c>
      <c r="AS2" s="41">
        <v>42</v>
      </c>
      <c r="AT2" s="41">
        <v>43</v>
      </c>
      <c r="AU2" s="41">
        <v>44</v>
      </c>
      <c r="AV2" s="41">
        <v>45</v>
      </c>
      <c r="AW2" s="41">
        <v>46</v>
      </c>
      <c r="AX2" s="41">
        <v>47</v>
      </c>
      <c r="AY2" s="41">
        <v>48</v>
      </c>
      <c r="AZ2" s="41">
        <v>49</v>
      </c>
      <c r="BA2" s="41">
        <v>50</v>
      </c>
      <c r="BB2" s="47"/>
      <c r="BC2" s="47"/>
      <c r="BD2" s="47"/>
      <c r="BE2" s="47"/>
      <c r="BF2" s="47"/>
    </row>
    <row r="4" spans="2:58" s="43" customFormat="1" ht="13" x14ac:dyDescent="0.3">
      <c r="B4" s="42" t="s">
        <v>68</v>
      </c>
      <c r="C4" s="49" t="s">
        <v>79</v>
      </c>
      <c r="D4" s="42">
        <f t="shared" ref="D4:AI4" si="0">SUM(D6:D7)</f>
        <v>0</v>
      </c>
      <c r="E4" s="42">
        <f t="shared" si="0"/>
        <v>0</v>
      </c>
      <c r="F4" s="42">
        <f t="shared" si="0"/>
        <v>49509.576000000001</v>
      </c>
      <c r="G4" s="42">
        <f t="shared" si="0"/>
        <v>50499.767520000001</v>
      </c>
      <c r="H4" s="42">
        <f t="shared" si="0"/>
        <v>51509.762870399994</v>
      </c>
      <c r="I4" s="42">
        <f t="shared" si="0"/>
        <v>52539.958127807993</v>
      </c>
      <c r="J4" s="42">
        <f t="shared" si="0"/>
        <v>53590.757290364163</v>
      </c>
      <c r="K4" s="42">
        <f t="shared" si="0"/>
        <v>54662.572436171446</v>
      </c>
      <c r="L4" s="42">
        <f t="shared" si="0"/>
        <v>55755.82388489486</v>
      </c>
      <c r="M4" s="42">
        <f t="shared" si="0"/>
        <v>56870.940362592766</v>
      </c>
      <c r="N4" s="42">
        <f t="shared" si="0"/>
        <v>58008.359169844618</v>
      </c>
      <c r="O4" s="42">
        <f t="shared" si="0"/>
        <v>59168.526353241512</v>
      </c>
      <c r="P4" s="42">
        <f t="shared" si="0"/>
        <v>60351.896880306333</v>
      </c>
      <c r="Q4" s="42">
        <f t="shared" si="0"/>
        <v>61558.934817912472</v>
      </c>
      <c r="R4" s="42">
        <f t="shared" si="0"/>
        <v>62790.113514270713</v>
      </c>
      <c r="S4" s="42">
        <f t="shared" si="0"/>
        <v>64045.915784556142</v>
      </c>
      <c r="T4" s="42">
        <f t="shared" si="0"/>
        <v>65326.834100247237</v>
      </c>
      <c r="U4" s="42">
        <f t="shared" si="0"/>
        <v>66633.370782252197</v>
      </c>
      <c r="V4" s="42">
        <f t="shared" si="0"/>
        <v>67966.038197897258</v>
      </c>
      <c r="W4" s="42">
        <f t="shared" si="0"/>
        <v>69325.358961855178</v>
      </c>
      <c r="X4" s="42">
        <f t="shared" si="0"/>
        <v>70711.86614109228</v>
      </c>
      <c r="Y4" s="42">
        <f t="shared" si="0"/>
        <v>72126.103463914144</v>
      </c>
      <c r="Z4" s="42">
        <f t="shared" si="0"/>
        <v>73568.625533192419</v>
      </c>
      <c r="AA4" s="42">
        <f t="shared" si="0"/>
        <v>75039.998043856278</v>
      </c>
      <c r="AB4" s="42">
        <f t="shared" si="0"/>
        <v>76540.798004733384</v>
      </c>
      <c r="AC4" s="42">
        <f t="shared" si="0"/>
        <v>78071.613964828051</v>
      </c>
      <c r="AD4" s="42">
        <f t="shared" si="0"/>
        <v>79633.04624412462</v>
      </c>
      <c r="AE4" s="42">
        <f t="shared" si="0"/>
        <v>81225.707169007117</v>
      </c>
      <c r="AF4" s="42">
        <f t="shared" si="0"/>
        <v>82850.22131238725</v>
      </c>
      <c r="AG4" s="42">
        <f t="shared" si="0"/>
        <v>84507.225738634996</v>
      </c>
      <c r="AH4" s="42">
        <f t="shared" si="0"/>
        <v>86197.370253407687</v>
      </c>
      <c r="AI4" s="42">
        <f t="shared" si="0"/>
        <v>87921.317658475848</v>
      </c>
      <c r="AJ4" s="42">
        <f t="shared" ref="AJ4:BA4" si="1">SUM(AJ6:AJ7)</f>
        <v>89679.744011645351</v>
      </c>
      <c r="AK4" s="42">
        <f t="shared" si="1"/>
        <v>91473.338891878273</v>
      </c>
      <c r="AL4" s="42">
        <f t="shared" si="1"/>
        <v>93302.805669715846</v>
      </c>
      <c r="AM4" s="42">
        <f t="shared" si="1"/>
        <v>95168.861783110144</v>
      </c>
      <c r="AN4" s="42">
        <f t="shared" si="1"/>
        <v>97072.23901877235</v>
      </c>
      <c r="AO4" s="42">
        <f t="shared" si="1"/>
        <v>99013.683799147795</v>
      </c>
      <c r="AP4" s="42">
        <f t="shared" si="1"/>
        <v>100993.95747513077</v>
      </c>
      <c r="AQ4" s="42">
        <f t="shared" si="1"/>
        <v>103013.83662463339</v>
      </c>
      <c r="AR4" s="42">
        <f t="shared" si="1"/>
        <v>105074.11335712601</v>
      </c>
      <c r="AS4" s="42">
        <f t="shared" si="1"/>
        <v>107175.59562426858</v>
      </c>
      <c r="AT4" s="42">
        <f t="shared" si="1"/>
        <v>109319.10753675393</v>
      </c>
      <c r="AU4" s="42">
        <f t="shared" si="1"/>
        <v>111505.489687489</v>
      </c>
      <c r="AV4" s="42">
        <f t="shared" si="1"/>
        <v>113735.59948123878</v>
      </c>
      <c r="AW4" s="42">
        <f t="shared" si="1"/>
        <v>116010.31147086358</v>
      </c>
      <c r="AX4" s="42">
        <f t="shared" si="1"/>
        <v>118330.51770028083</v>
      </c>
      <c r="AY4" s="42">
        <f t="shared" si="1"/>
        <v>120697.12805428647</v>
      </c>
      <c r="AZ4" s="42">
        <f t="shared" si="1"/>
        <v>123111.07061537215</v>
      </c>
      <c r="BA4" s="42">
        <f t="shared" si="1"/>
        <v>125573.29202767962</v>
      </c>
    </row>
    <row r="5" spans="2:58" ht="13.25" x14ac:dyDescent="0.25">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row>
    <row r="6" spans="2:58" ht="13.25" x14ac:dyDescent="0.25">
      <c r="B6" s="32" t="s">
        <v>81</v>
      </c>
      <c r="C6" s="37" t="s">
        <v>79</v>
      </c>
      <c r="D6" s="43"/>
      <c r="E6" s="43"/>
      <c r="F6" s="43">
        <f>'Naudas plūsma'!E5</f>
        <v>49509.576000000001</v>
      </c>
      <c r="G6" s="43">
        <f>'Naudas plūsma'!F5</f>
        <v>50499.767520000001</v>
      </c>
      <c r="H6" s="43">
        <f>'Naudas plūsma'!G5</f>
        <v>51509.762870399994</v>
      </c>
      <c r="I6" s="43">
        <f>'Naudas plūsma'!H5</f>
        <v>52539.958127807993</v>
      </c>
      <c r="J6" s="43">
        <f>'Naudas plūsma'!I5</f>
        <v>53590.757290364163</v>
      </c>
      <c r="K6" s="43">
        <f>'Naudas plūsma'!J5</f>
        <v>54662.572436171446</v>
      </c>
      <c r="L6" s="43">
        <f>'Naudas plūsma'!K5</f>
        <v>55755.82388489486</v>
      </c>
      <c r="M6" s="43">
        <f>'Naudas plūsma'!L5</f>
        <v>56870.940362592766</v>
      </c>
      <c r="N6" s="43">
        <f>'Naudas plūsma'!M5</f>
        <v>58008.359169844618</v>
      </c>
      <c r="O6" s="43">
        <f>'Naudas plūsma'!N5</f>
        <v>59168.526353241512</v>
      </c>
      <c r="P6" s="43">
        <f>'Naudas plūsma'!O5</f>
        <v>60351.896880306333</v>
      </c>
      <c r="Q6" s="43">
        <f>'Naudas plūsma'!P5</f>
        <v>61558.934817912472</v>
      </c>
      <c r="R6" s="43">
        <f>'Naudas plūsma'!Q5</f>
        <v>62790.113514270713</v>
      </c>
      <c r="S6" s="43">
        <f>'Naudas plūsma'!R5</f>
        <v>64045.915784556142</v>
      </c>
      <c r="T6" s="43">
        <f>'Naudas plūsma'!S5</f>
        <v>65326.834100247237</v>
      </c>
      <c r="U6" s="43">
        <f>'Naudas plūsma'!T5</f>
        <v>66633.370782252197</v>
      </c>
      <c r="V6" s="43">
        <f>'Naudas plūsma'!U5</f>
        <v>67966.038197897258</v>
      </c>
      <c r="W6" s="43">
        <f>'Naudas plūsma'!V5</f>
        <v>69325.358961855178</v>
      </c>
      <c r="X6" s="43">
        <f>'Naudas plūsma'!W5</f>
        <v>70711.86614109228</v>
      </c>
      <c r="Y6" s="43">
        <f>'Naudas plūsma'!X5</f>
        <v>72126.103463914144</v>
      </c>
      <c r="Z6" s="43">
        <f>'Naudas plūsma'!Y5</f>
        <v>73568.625533192419</v>
      </c>
      <c r="AA6" s="43">
        <f>'Naudas plūsma'!Z5</f>
        <v>75039.998043856278</v>
      </c>
      <c r="AB6" s="43">
        <f>'Naudas plūsma'!AA5</f>
        <v>76540.798004733384</v>
      </c>
      <c r="AC6" s="43">
        <f>'Naudas plūsma'!AB5</f>
        <v>78071.613964828051</v>
      </c>
      <c r="AD6" s="43">
        <f>'Naudas plūsma'!AC5</f>
        <v>79633.04624412462</v>
      </c>
      <c r="AE6" s="43">
        <f>'Naudas plūsma'!AD5</f>
        <v>81225.707169007117</v>
      </c>
      <c r="AF6" s="43">
        <f>'Naudas plūsma'!AE5</f>
        <v>82850.22131238725</v>
      </c>
      <c r="AG6" s="43">
        <f>'Naudas plūsma'!AF5</f>
        <v>84507.225738634996</v>
      </c>
      <c r="AH6" s="43">
        <f>'Naudas plūsma'!AG5</f>
        <v>86197.370253407687</v>
      </c>
      <c r="AI6" s="43">
        <f>'Naudas plūsma'!AH5</f>
        <v>87921.317658475848</v>
      </c>
      <c r="AJ6" s="43">
        <f>'Naudas plūsma'!AI5</f>
        <v>89679.744011645351</v>
      </c>
      <c r="AK6" s="43">
        <f>'Naudas plūsma'!AJ5</f>
        <v>91473.338891878273</v>
      </c>
      <c r="AL6" s="43">
        <f>'Naudas plūsma'!AK5</f>
        <v>93302.805669715846</v>
      </c>
      <c r="AM6" s="43">
        <f>'Naudas plūsma'!AL5</f>
        <v>95168.861783110144</v>
      </c>
      <c r="AN6" s="43">
        <f>'Naudas plūsma'!AM5</f>
        <v>97072.23901877235</v>
      </c>
      <c r="AO6" s="43">
        <f>'Naudas plūsma'!AN5</f>
        <v>99013.683799147795</v>
      </c>
      <c r="AP6" s="43">
        <f>'Naudas plūsma'!AO5</f>
        <v>100993.95747513077</v>
      </c>
      <c r="AQ6" s="43">
        <f>'Naudas plūsma'!AP5</f>
        <v>103013.83662463339</v>
      </c>
      <c r="AR6" s="43">
        <f>'Naudas plūsma'!AQ5</f>
        <v>105074.11335712601</v>
      </c>
      <c r="AS6" s="43">
        <f>'Naudas plūsma'!AR5</f>
        <v>107175.59562426858</v>
      </c>
      <c r="AT6" s="43">
        <f>'Naudas plūsma'!AS5</f>
        <v>109319.10753675393</v>
      </c>
      <c r="AU6" s="43">
        <f>'Naudas plūsma'!AT5</f>
        <v>111505.489687489</v>
      </c>
      <c r="AV6" s="43">
        <f>'Naudas plūsma'!AU5</f>
        <v>113735.59948123878</v>
      </c>
      <c r="AW6" s="43">
        <f>'Naudas plūsma'!AV5</f>
        <v>116010.31147086358</v>
      </c>
      <c r="AX6" s="43">
        <f>'Naudas plūsma'!AW5</f>
        <v>118330.51770028083</v>
      </c>
      <c r="AY6" s="43">
        <f>'Naudas plūsma'!AX5</f>
        <v>120697.12805428647</v>
      </c>
      <c r="AZ6" s="43">
        <f>'Naudas plūsma'!AY5</f>
        <v>123111.07061537215</v>
      </c>
      <c r="BA6" s="43">
        <f>'Naudas plūsma'!AZ5</f>
        <v>125573.29202767962</v>
      </c>
      <c r="BB6" s="43"/>
    </row>
    <row r="7" spans="2:58" ht="13.25" x14ac:dyDescent="0.25">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row>
    <row r="8" spans="2:58" s="43" customFormat="1" ht="13" x14ac:dyDescent="0.3">
      <c r="B8" s="42" t="s">
        <v>41</v>
      </c>
      <c r="C8" s="49" t="s">
        <v>79</v>
      </c>
      <c r="D8" s="42">
        <f t="shared" ref="D8:AI8" si="2">SUM(D10:D14)</f>
        <v>0</v>
      </c>
      <c r="E8" s="42">
        <f t="shared" si="2"/>
        <v>0</v>
      </c>
      <c r="F8" s="42" t="e">
        <f t="shared" si="2"/>
        <v>#REF!</v>
      </c>
      <c r="G8" s="42" t="e">
        <f t="shared" si="2"/>
        <v>#REF!</v>
      </c>
      <c r="H8" s="42" t="e">
        <f t="shared" si="2"/>
        <v>#REF!</v>
      </c>
      <c r="I8" s="42" t="e">
        <f t="shared" si="2"/>
        <v>#REF!</v>
      </c>
      <c r="J8" s="42" t="e">
        <f t="shared" si="2"/>
        <v>#REF!</v>
      </c>
      <c r="K8" s="42" t="e">
        <f t="shared" si="2"/>
        <v>#REF!</v>
      </c>
      <c r="L8" s="42" t="e">
        <f t="shared" si="2"/>
        <v>#REF!</v>
      </c>
      <c r="M8" s="42" t="e">
        <f t="shared" si="2"/>
        <v>#REF!</v>
      </c>
      <c r="N8" s="42" t="e">
        <f t="shared" si="2"/>
        <v>#REF!</v>
      </c>
      <c r="O8" s="42" t="e">
        <f t="shared" si="2"/>
        <v>#REF!</v>
      </c>
      <c r="P8" s="42" t="e">
        <f t="shared" si="2"/>
        <v>#REF!</v>
      </c>
      <c r="Q8" s="42" t="e">
        <f t="shared" si="2"/>
        <v>#REF!</v>
      </c>
      <c r="R8" s="42" t="e">
        <f t="shared" si="2"/>
        <v>#REF!</v>
      </c>
      <c r="S8" s="42" t="e">
        <f t="shared" si="2"/>
        <v>#REF!</v>
      </c>
      <c r="T8" s="42" t="e">
        <f t="shared" si="2"/>
        <v>#REF!</v>
      </c>
      <c r="U8" s="42" t="e">
        <f t="shared" si="2"/>
        <v>#REF!</v>
      </c>
      <c r="V8" s="42" t="e">
        <f t="shared" si="2"/>
        <v>#REF!</v>
      </c>
      <c r="W8" s="42" t="e">
        <f t="shared" si="2"/>
        <v>#REF!</v>
      </c>
      <c r="X8" s="42" t="e">
        <f t="shared" si="2"/>
        <v>#REF!</v>
      </c>
      <c r="Y8" s="42" t="e">
        <f t="shared" si="2"/>
        <v>#REF!</v>
      </c>
      <c r="Z8" s="42" t="e">
        <f t="shared" si="2"/>
        <v>#REF!</v>
      </c>
      <c r="AA8" s="42" t="e">
        <f t="shared" si="2"/>
        <v>#REF!</v>
      </c>
      <c r="AB8" s="42" t="e">
        <f t="shared" si="2"/>
        <v>#REF!</v>
      </c>
      <c r="AC8" s="42" t="e">
        <f t="shared" si="2"/>
        <v>#REF!</v>
      </c>
      <c r="AD8" s="42" t="e">
        <f t="shared" si="2"/>
        <v>#REF!</v>
      </c>
      <c r="AE8" s="42" t="e">
        <f t="shared" si="2"/>
        <v>#REF!</v>
      </c>
      <c r="AF8" s="42" t="e">
        <f t="shared" si="2"/>
        <v>#REF!</v>
      </c>
      <c r="AG8" s="42" t="e">
        <f t="shared" si="2"/>
        <v>#REF!</v>
      </c>
      <c r="AH8" s="42" t="e">
        <f t="shared" si="2"/>
        <v>#REF!</v>
      </c>
      <c r="AI8" s="42" t="e">
        <f t="shared" si="2"/>
        <v>#REF!</v>
      </c>
      <c r="AJ8" s="42" t="e">
        <f t="shared" ref="AJ8:BA8" si="3">SUM(AJ10:AJ14)</f>
        <v>#REF!</v>
      </c>
      <c r="AK8" s="42" t="e">
        <f t="shared" si="3"/>
        <v>#REF!</v>
      </c>
      <c r="AL8" s="42" t="e">
        <f t="shared" si="3"/>
        <v>#REF!</v>
      </c>
      <c r="AM8" s="42" t="e">
        <f t="shared" si="3"/>
        <v>#REF!</v>
      </c>
      <c r="AN8" s="42" t="e">
        <f t="shared" si="3"/>
        <v>#REF!</v>
      </c>
      <c r="AO8" s="42" t="e">
        <f t="shared" si="3"/>
        <v>#REF!</v>
      </c>
      <c r="AP8" s="42" t="e">
        <f t="shared" si="3"/>
        <v>#REF!</v>
      </c>
      <c r="AQ8" s="42" t="e">
        <f t="shared" si="3"/>
        <v>#REF!</v>
      </c>
      <c r="AR8" s="42" t="e">
        <f t="shared" si="3"/>
        <v>#REF!</v>
      </c>
      <c r="AS8" s="42" t="e">
        <f t="shared" si="3"/>
        <v>#REF!</v>
      </c>
      <c r="AT8" s="42" t="e">
        <f t="shared" si="3"/>
        <v>#REF!</v>
      </c>
      <c r="AU8" s="42" t="e">
        <f t="shared" si="3"/>
        <v>#REF!</v>
      </c>
      <c r="AV8" s="42" t="e">
        <f t="shared" si="3"/>
        <v>#REF!</v>
      </c>
      <c r="AW8" s="42" t="e">
        <f t="shared" si="3"/>
        <v>#REF!</v>
      </c>
      <c r="AX8" s="42" t="e">
        <f t="shared" si="3"/>
        <v>#REF!</v>
      </c>
      <c r="AY8" s="42" t="e">
        <f t="shared" si="3"/>
        <v>#REF!</v>
      </c>
      <c r="AZ8" s="42" t="e">
        <f t="shared" si="3"/>
        <v>#REF!</v>
      </c>
      <c r="BA8" s="42" t="e">
        <f t="shared" si="3"/>
        <v>#REF!</v>
      </c>
    </row>
    <row r="9" spans="2:58" ht="13.25" x14ac:dyDescent="0.25">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3"/>
      <c r="AM9" s="43"/>
      <c r="AN9" s="43"/>
      <c r="AO9" s="43"/>
      <c r="AP9" s="43"/>
      <c r="AQ9" s="43"/>
      <c r="AR9" s="43"/>
      <c r="AS9" s="43"/>
      <c r="AT9" s="43"/>
      <c r="AU9" s="43"/>
      <c r="AV9" s="43"/>
      <c r="AW9" s="43"/>
      <c r="AX9" s="43"/>
      <c r="AY9" s="43"/>
      <c r="AZ9" s="43"/>
      <c r="BA9" s="43"/>
      <c r="BB9" s="43"/>
    </row>
    <row r="10" spans="2:58" ht="13.25" x14ac:dyDescent="0.25">
      <c r="B10" s="52" t="s">
        <v>64</v>
      </c>
      <c r="C10" s="37" t="s">
        <v>79</v>
      </c>
      <c r="D10" s="43"/>
      <c r="E10" s="43"/>
      <c r="F10" s="43" t="e">
        <f>'Naudas plūsma'!#REF!</f>
        <v>#REF!</v>
      </c>
      <c r="G10" s="43" t="e">
        <f>'Naudas plūsma'!#REF!</f>
        <v>#REF!</v>
      </c>
      <c r="H10" s="43" t="e">
        <f>'Naudas plūsma'!#REF!</f>
        <v>#REF!</v>
      </c>
      <c r="I10" s="43" t="e">
        <f>'Naudas plūsma'!#REF!</f>
        <v>#REF!</v>
      </c>
      <c r="J10" s="43" t="e">
        <f>'Naudas plūsma'!#REF!</f>
        <v>#REF!</v>
      </c>
      <c r="K10" s="43" t="e">
        <f>'Naudas plūsma'!#REF!</f>
        <v>#REF!</v>
      </c>
      <c r="L10" s="43" t="e">
        <f>'Naudas plūsma'!#REF!</f>
        <v>#REF!</v>
      </c>
      <c r="M10" s="43" t="e">
        <f>'Naudas plūsma'!#REF!</f>
        <v>#REF!</v>
      </c>
      <c r="N10" s="43" t="e">
        <f>'Naudas plūsma'!#REF!</f>
        <v>#REF!</v>
      </c>
      <c r="O10" s="43" t="e">
        <f>'Naudas plūsma'!#REF!</f>
        <v>#REF!</v>
      </c>
      <c r="P10" s="43" t="e">
        <f>'Naudas plūsma'!#REF!</f>
        <v>#REF!</v>
      </c>
      <c r="Q10" s="43" t="e">
        <f>'Naudas plūsma'!#REF!</f>
        <v>#REF!</v>
      </c>
      <c r="R10" s="43" t="e">
        <f>'Naudas plūsma'!#REF!</f>
        <v>#REF!</v>
      </c>
      <c r="S10" s="43" t="e">
        <f>'Naudas plūsma'!#REF!</f>
        <v>#REF!</v>
      </c>
      <c r="T10" s="43" t="e">
        <f>'Naudas plūsma'!#REF!</f>
        <v>#REF!</v>
      </c>
      <c r="U10" s="43" t="e">
        <f>'Naudas plūsma'!#REF!</f>
        <v>#REF!</v>
      </c>
      <c r="V10" s="43" t="e">
        <f>'Naudas plūsma'!#REF!</f>
        <v>#REF!</v>
      </c>
      <c r="W10" s="43" t="e">
        <f>'Naudas plūsma'!#REF!</f>
        <v>#REF!</v>
      </c>
      <c r="X10" s="43" t="e">
        <f>'Naudas plūsma'!#REF!</f>
        <v>#REF!</v>
      </c>
      <c r="Y10" s="43" t="e">
        <f>'Naudas plūsma'!#REF!</f>
        <v>#REF!</v>
      </c>
      <c r="Z10" s="43" t="e">
        <f>'Naudas plūsma'!#REF!</f>
        <v>#REF!</v>
      </c>
      <c r="AA10" s="43" t="e">
        <f>'Naudas plūsma'!#REF!</f>
        <v>#REF!</v>
      </c>
      <c r="AB10" s="43" t="e">
        <f>'Naudas plūsma'!#REF!</f>
        <v>#REF!</v>
      </c>
      <c r="AC10" s="43" t="e">
        <f>'Naudas plūsma'!#REF!</f>
        <v>#REF!</v>
      </c>
      <c r="AD10" s="43" t="e">
        <f>'Naudas plūsma'!#REF!</f>
        <v>#REF!</v>
      </c>
      <c r="AE10" s="43" t="e">
        <f>'Naudas plūsma'!#REF!</f>
        <v>#REF!</v>
      </c>
      <c r="AF10" s="43" t="e">
        <f>'Naudas plūsma'!#REF!</f>
        <v>#REF!</v>
      </c>
      <c r="AG10" s="43" t="e">
        <f>'Naudas plūsma'!#REF!</f>
        <v>#REF!</v>
      </c>
      <c r="AH10" s="43" t="e">
        <f>'Naudas plūsma'!#REF!</f>
        <v>#REF!</v>
      </c>
      <c r="AI10" s="43" t="e">
        <f>'Naudas plūsma'!#REF!</f>
        <v>#REF!</v>
      </c>
      <c r="AJ10" s="43" t="e">
        <f>'Naudas plūsma'!#REF!</f>
        <v>#REF!</v>
      </c>
      <c r="AK10" s="43" t="e">
        <f>'Naudas plūsma'!#REF!</f>
        <v>#REF!</v>
      </c>
      <c r="AL10" s="43" t="e">
        <f>'Naudas plūsma'!#REF!</f>
        <v>#REF!</v>
      </c>
      <c r="AM10" s="43" t="e">
        <f>'Naudas plūsma'!#REF!</f>
        <v>#REF!</v>
      </c>
      <c r="AN10" s="43" t="e">
        <f>'Naudas plūsma'!#REF!</f>
        <v>#REF!</v>
      </c>
      <c r="AO10" s="43" t="e">
        <f>'Naudas plūsma'!#REF!</f>
        <v>#REF!</v>
      </c>
      <c r="AP10" s="43" t="e">
        <f>'Naudas plūsma'!#REF!</f>
        <v>#REF!</v>
      </c>
      <c r="AQ10" s="43" t="e">
        <f>'Naudas plūsma'!#REF!</f>
        <v>#REF!</v>
      </c>
      <c r="AR10" s="43" t="e">
        <f>'Naudas plūsma'!#REF!</f>
        <v>#REF!</v>
      </c>
      <c r="AS10" s="43" t="e">
        <f>'Naudas plūsma'!#REF!</f>
        <v>#REF!</v>
      </c>
      <c r="AT10" s="43" t="e">
        <f>'Naudas plūsma'!#REF!</f>
        <v>#REF!</v>
      </c>
      <c r="AU10" s="43" t="e">
        <f>'Naudas plūsma'!#REF!</f>
        <v>#REF!</v>
      </c>
      <c r="AV10" s="43" t="e">
        <f>'Naudas plūsma'!#REF!</f>
        <v>#REF!</v>
      </c>
      <c r="AW10" s="43" t="e">
        <f>'Naudas plūsma'!#REF!</f>
        <v>#REF!</v>
      </c>
      <c r="AX10" s="43" t="e">
        <f>'Naudas plūsma'!#REF!</f>
        <v>#REF!</v>
      </c>
      <c r="AY10" s="43" t="e">
        <f>'Naudas plūsma'!#REF!</f>
        <v>#REF!</v>
      </c>
      <c r="AZ10" s="43" t="e">
        <f>'Naudas plūsma'!#REF!</f>
        <v>#REF!</v>
      </c>
      <c r="BA10" s="43" t="e">
        <f>'Naudas plūsma'!#REF!</f>
        <v>#REF!</v>
      </c>
      <c r="BB10" s="43"/>
    </row>
    <row r="11" spans="2:58" ht="13.25" x14ac:dyDescent="0.25">
      <c r="B11" s="52" t="s">
        <v>65</v>
      </c>
      <c r="C11" s="37" t="s">
        <v>79</v>
      </c>
      <c r="D11" s="43"/>
      <c r="E11" s="43"/>
      <c r="F11" s="43" t="e">
        <f>'Naudas plūsma'!#REF!</f>
        <v>#REF!</v>
      </c>
      <c r="G11" s="43" t="e">
        <f>'Naudas plūsma'!#REF!</f>
        <v>#REF!</v>
      </c>
      <c r="H11" s="43" t="e">
        <f>'Naudas plūsma'!#REF!</f>
        <v>#REF!</v>
      </c>
      <c r="I11" s="43" t="e">
        <f>'Naudas plūsma'!#REF!</f>
        <v>#REF!</v>
      </c>
      <c r="J11" s="43" t="e">
        <f>'Naudas plūsma'!#REF!</f>
        <v>#REF!</v>
      </c>
      <c r="K11" s="43" t="e">
        <f>'Naudas plūsma'!#REF!</f>
        <v>#REF!</v>
      </c>
      <c r="L11" s="43" t="e">
        <f>'Naudas plūsma'!#REF!</f>
        <v>#REF!</v>
      </c>
      <c r="M11" s="43" t="e">
        <f>'Naudas plūsma'!#REF!</f>
        <v>#REF!</v>
      </c>
      <c r="N11" s="43" t="e">
        <f>'Naudas plūsma'!#REF!</f>
        <v>#REF!</v>
      </c>
      <c r="O11" s="43" t="e">
        <f>'Naudas plūsma'!#REF!</f>
        <v>#REF!</v>
      </c>
      <c r="P11" s="43" t="e">
        <f>'Naudas plūsma'!#REF!</f>
        <v>#REF!</v>
      </c>
      <c r="Q11" s="43" t="e">
        <f>'Naudas plūsma'!#REF!</f>
        <v>#REF!</v>
      </c>
      <c r="R11" s="43" t="e">
        <f>'Naudas plūsma'!#REF!</f>
        <v>#REF!</v>
      </c>
      <c r="S11" s="43" t="e">
        <f>'Naudas plūsma'!#REF!</f>
        <v>#REF!</v>
      </c>
      <c r="T11" s="43" t="e">
        <f>'Naudas plūsma'!#REF!</f>
        <v>#REF!</v>
      </c>
      <c r="U11" s="43" t="e">
        <f>'Naudas plūsma'!#REF!</f>
        <v>#REF!</v>
      </c>
      <c r="V11" s="43" t="e">
        <f>'Naudas plūsma'!#REF!</f>
        <v>#REF!</v>
      </c>
      <c r="W11" s="43" t="e">
        <f>'Naudas plūsma'!#REF!</f>
        <v>#REF!</v>
      </c>
      <c r="X11" s="43" t="e">
        <f>'Naudas plūsma'!#REF!</f>
        <v>#REF!</v>
      </c>
      <c r="Y11" s="43" t="e">
        <f>'Naudas plūsma'!#REF!</f>
        <v>#REF!</v>
      </c>
      <c r="Z11" s="43" t="e">
        <f>'Naudas plūsma'!#REF!</f>
        <v>#REF!</v>
      </c>
      <c r="AA11" s="43" t="e">
        <f>'Naudas plūsma'!#REF!</f>
        <v>#REF!</v>
      </c>
      <c r="AB11" s="43" t="e">
        <f>'Naudas plūsma'!#REF!</f>
        <v>#REF!</v>
      </c>
      <c r="AC11" s="43" t="e">
        <f>'Naudas plūsma'!#REF!</f>
        <v>#REF!</v>
      </c>
      <c r="AD11" s="43" t="e">
        <f>'Naudas plūsma'!#REF!</f>
        <v>#REF!</v>
      </c>
      <c r="AE11" s="43" t="e">
        <f>'Naudas plūsma'!#REF!</f>
        <v>#REF!</v>
      </c>
      <c r="AF11" s="43" t="e">
        <f>'Naudas plūsma'!#REF!</f>
        <v>#REF!</v>
      </c>
      <c r="AG11" s="43" t="e">
        <f>'Naudas plūsma'!#REF!</f>
        <v>#REF!</v>
      </c>
      <c r="AH11" s="43" t="e">
        <f>'Naudas plūsma'!#REF!</f>
        <v>#REF!</v>
      </c>
      <c r="AI11" s="43" t="e">
        <f>'Naudas plūsma'!#REF!</f>
        <v>#REF!</v>
      </c>
      <c r="AJ11" s="43" t="e">
        <f>'Naudas plūsma'!#REF!</f>
        <v>#REF!</v>
      </c>
      <c r="AK11" s="43" t="e">
        <f>'Naudas plūsma'!#REF!</f>
        <v>#REF!</v>
      </c>
      <c r="AL11" s="43" t="e">
        <f>'Naudas plūsma'!#REF!</f>
        <v>#REF!</v>
      </c>
      <c r="AM11" s="43" t="e">
        <f>'Naudas plūsma'!#REF!</f>
        <v>#REF!</v>
      </c>
      <c r="AN11" s="43" t="e">
        <f>'Naudas plūsma'!#REF!</f>
        <v>#REF!</v>
      </c>
      <c r="AO11" s="43" t="e">
        <f>'Naudas plūsma'!#REF!</f>
        <v>#REF!</v>
      </c>
      <c r="AP11" s="43" t="e">
        <f>'Naudas plūsma'!#REF!</f>
        <v>#REF!</v>
      </c>
      <c r="AQ11" s="43" t="e">
        <f>'Naudas plūsma'!#REF!</f>
        <v>#REF!</v>
      </c>
      <c r="AR11" s="43" t="e">
        <f>'Naudas plūsma'!#REF!</f>
        <v>#REF!</v>
      </c>
      <c r="AS11" s="43" t="e">
        <f>'Naudas plūsma'!#REF!</f>
        <v>#REF!</v>
      </c>
      <c r="AT11" s="43" t="e">
        <f>'Naudas plūsma'!#REF!</f>
        <v>#REF!</v>
      </c>
      <c r="AU11" s="43" t="e">
        <f>'Naudas plūsma'!#REF!</f>
        <v>#REF!</v>
      </c>
      <c r="AV11" s="43" t="e">
        <f>'Naudas plūsma'!#REF!</f>
        <v>#REF!</v>
      </c>
      <c r="AW11" s="43" t="e">
        <f>'Naudas plūsma'!#REF!</f>
        <v>#REF!</v>
      </c>
      <c r="AX11" s="43" t="e">
        <f>'Naudas plūsma'!#REF!</f>
        <v>#REF!</v>
      </c>
      <c r="AY11" s="43" t="e">
        <f>'Naudas plūsma'!#REF!</f>
        <v>#REF!</v>
      </c>
      <c r="AZ11" s="43" t="e">
        <f>'Naudas plūsma'!#REF!</f>
        <v>#REF!</v>
      </c>
      <c r="BA11" s="43" t="e">
        <f>'Naudas plūsma'!#REF!</f>
        <v>#REF!</v>
      </c>
      <c r="BB11" s="43"/>
    </row>
    <row r="12" spans="2:58" ht="13.25" x14ac:dyDescent="0.25">
      <c r="B12" s="43" t="s">
        <v>36</v>
      </c>
      <c r="C12" s="37" t="s">
        <v>79</v>
      </c>
      <c r="D12" s="43"/>
      <c r="E12" s="43"/>
      <c r="F12" s="43">
        <f>'Naudas plūsma'!E7</f>
        <v>-2227.9309199999998</v>
      </c>
      <c r="G12" s="43">
        <f>'Naudas plūsma'!F7</f>
        <v>-2272.4895384000001</v>
      </c>
      <c r="H12" s="43">
        <f>'Naudas plūsma'!G7</f>
        <v>-2317.9393291679999</v>
      </c>
      <c r="I12" s="43">
        <f>'Naudas plūsma'!H7</f>
        <v>-2364.2981157513595</v>
      </c>
      <c r="J12" s="43">
        <f>'Naudas plūsma'!I7</f>
        <v>-2411.5840780663871</v>
      </c>
      <c r="K12" s="43">
        <f>'Naudas plūsma'!J7</f>
        <v>-2459.8157596277151</v>
      </c>
      <c r="L12" s="43">
        <f>'Naudas plūsma'!K7</f>
        <v>-2509.0120748202685</v>
      </c>
      <c r="M12" s="43">
        <f>'Naudas plūsma'!L7</f>
        <v>-2559.1923163166744</v>
      </c>
      <c r="N12" s="43">
        <f>'Naudas plūsma'!M7</f>
        <v>-2610.3761626430078</v>
      </c>
      <c r="O12" s="43">
        <f>'Naudas plūsma'!N7</f>
        <v>-2662.5836858958678</v>
      </c>
      <c r="P12" s="43">
        <f>'Naudas plūsma'!O7</f>
        <v>-2715.8353596137849</v>
      </c>
      <c r="Q12" s="43">
        <f>'Naudas plūsma'!P7</f>
        <v>-2770.1520668060612</v>
      </c>
      <c r="R12" s="43">
        <f>'Naudas plūsma'!Q7</f>
        <v>-2825.5551081421818</v>
      </c>
      <c r="S12" s="43">
        <f>'Naudas plūsma'!R7</f>
        <v>-2882.0662103050263</v>
      </c>
      <c r="T12" s="43">
        <f>'Naudas plūsma'!S7</f>
        <v>-2939.7075345111257</v>
      </c>
      <c r="U12" s="43">
        <f>'Naudas plūsma'!T7</f>
        <v>-2998.5016852013487</v>
      </c>
      <c r="V12" s="43">
        <f>'Naudas plūsma'!U7</f>
        <v>-3058.4717189053763</v>
      </c>
      <c r="W12" s="43">
        <f>'Naudas plūsma'!V7</f>
        <v>-3119.6411532834827</v>
      </c>
      <c r="X12" s="43">
        <f>'Naudas plūsma'!W7</f>
        <v>-3182.0339763491525</v>
      </c>
      <c r="Y12" s="43">
        <f>'Naudas plūsma'!X7</f>
        <v>-3245.6746558761365</v>
      </c>
      <c r="Z12" s="43">
        <f>'Naudas plūsma'!Y7</f>
        <v>-3310.5881489936587</v>
      </c>
      <c r="AA12" s="43">
        <f>'Naudas plūsma'!Z7</f>
        <v>-3376.7999119735323</v>
      </c>
      <c r="AB12" s="43">
        <f>'Naudas plūsma'!AA7</f>
        <v>-3444.3359102130021</v>
      </c>
      <c r="AC12" s="43">
        <f>'Naudas plūsma'!AB7</f>
        <v>-3513.2226284172621</v>
      </c>
      <c r="AD12" s="43">
        <f>'Naudas plūsma'!AC7</f>
        <v>-3583.4870809856079</v>
      </c>
      <c r="AE12" s="43">
        <f>'Naudas plūsma'!AD7</f>
        <v>-3655.15682260532</v>
      </c>
      <c r="AF12" s="43">
        <f>'Naudas plūsma'!AE7</f>
        <v>-3728.2599590574259</v>
      </c>
      <c r="AG12" s="43">
        <f>'Naudas plūsma'!AF7</f>
        <v>-3802.8251582385747</v>
      </c>
      <c r="AH12" s="43">
        <f>'Naudas plūsma'!AG7</f>
        <v>-3878.8816614033458</v>
      </c>
      <c r="AI12" s="43">
        <f>'Naudas plūsma'!AH7</f>
        <v>-3956.4592946314128</v>
      </c>
      <c r="AJ12" s="43">
        <f>'Naudas plūsma'!AI7</f>
        <v>-4035.5884805240407</v>
      </c>
      <c r="AK12" s="43">
        <f>'Naudas plūsma'!AJ7</f>
        <v>-4116.3002501345218</v>
      </c>
      <c r="AL12" s="43">
        <f>'Naudas plūsma'!AK7</f>
        <v>-4198.6262551372129</v>
      </c>
      <c r="AM12" s="43">
        <f>'Naudas plūsma'!AL7</f>
        <v>-4282.5987802399559</v>
      </c>
      <c r="AN12" s="43">
        <f>'Naudas plūsma'!AM7</f>
        <v>-4368.250755844756</v>
      </c>
      <c r="AO12" s="43">
        <f>'Naudas plūsma'!AN7</f>
        <v>-4455.6157709616509</v>
      </c>
      <c r="AP12" s="43">
        <f>'Naudas plūsma'!AO7</f>
        <v>-4544.7280863808846</v>
      </c>
      <c r="AQ12" s="43">
        <f>'Naudas plūsma'!AP7</f>
        <v>-4635.6226481085023</v>
      </c>
      <c r="AR12" s="43">
        <f>'Naudas plūsma'!AQ7</f>
        <v>-4728.3351010706701</v>
      </c>
      <c r="AS12" s="43">
        <f>'Naudas plūsma'!AR7</f>
        <v>-4822.9018030920861</v>
      </c>
      <c r="AT12" s="43">
        <f>'Naudas plūsma'!AS7</f>
        <v>-4919.3598391539263</v>
      </c>
      <c r="AU12" s="43">
        <f>'Naudas plūsma'!AT7</f>
        <v>-5017.7470359370045</v>
      </c>
      <c r="AV12" s="43">
        <f>'Naudas plūsma'!AU7</f>
        <v>-5118.1019766557447</v>
      </c>
      <c r="AW12" s="43">
        <f>'Naudas plūsma'!AV7</f>
        <v>-5220.464016188861</v>
      </c>
      <c r="AX12" s="43">
        <f>'Naudas plūsma'!AW7</f>
        <v>-5324.8732965126374</v>
      </c>
      <c r="AY12" s="43">
        <f>'Naudas plūsma'!AX7</f>
        <v>-5431.3707624428907</v>
      </c>
      <c r="AZ12" s="43">
        <f>'Naudas plūsma'!AY7</f>
        <v>-5539.9981776917466</v>
      </c>
      <c r="BA12" s="43">
        <f>'Naudas plūsma'!AZ7</f>
        <v>-5650.7981412455829</v>
      </c>
      <c r="BB12" s="43"/>
    </row>
    <row r="13" spans="2:58" ht="13.25" x14ac:dyDescent="0.25">
      <c r="B13" s="43" t="s">
        <v>37</v>
      </c>
      <c r="C13" s="37" t="s">
        <v>79</v>
      </c>
      <c r="D13" s="43"/>
      <c r="E13" s="43"/>
      <c r="F13" s="43">
        <f>'Naudas plūsma'!E9</f>
        <v>0</v>
      </c>
      <c r="G13" s="43">
        <f>'Naudas plūsma'!F9</f>
        <v>0</v>
      </c>
      <c r="H13" s="43">
        <f>'Naudas plūsma'!G9</f>
        <v>0</v>
      </c>
      <c r="I13" s="43">
        <f>'Naudas plūsma'!H9</f>
        <v>0</v>
      </c>
      <c r="J13" s="43">
        <f>'Naudas plūsma'!I9</f>
        <v>0</v>
      </c>
      <c r="K13" s="43">
        <f>'Naudas plūsma'!J9</f>
        <v>0</v>
      </c>
      <c r="L13" s="43">
        <f>'Naudas plūsma'!K9</f>
        <v>0</v>
      </c>
      <c r="M13" s="43">
        <f>'Naudas plūsma'!L9</f>
        <v>0</v>
      </c>
      <c r="N13" s="43">
        <f>'Naudas plūsma'!M9</f>
        <v>0</v>
      </c>
      <c r="O13" s="43">
        <f>'Naudas plūsma'!N9</f>
        <v>0</v>
      </c>
      <c r="P13" s="43">
        <f>'Naudas plūsma'!O9</f>
        <v>0</v>
      </c>
      <c r="Q13" s="43">
        <f>'Naudas plūsma'!P9</f>
        <v>0</v>
      </c>
      <c r="R13" s="43">
        <f>'Naudas plūsma'!Q9</f>
        <v>0</v>
      </c>
      <c r="S13" s="43">
        <f>'Naudas plūsma'!R9</f>
        <v>0</v>
      </c>
      <c r="T13" s="43">
        <f>'Naudas plūsma'!S9</f>
        <v>0</v>
      </c>
      <c r="U13" s="43">
        <f>'Naudas plūsma'!T9</f>
        <v>0</v>
      </c>
      <c r="V13" s="43">
        <f>'Naudas plūsma'!U9</f>
        <v>0</v>
      </c>
      <c r="W13" s="43">
        <f>'Naudas plūsma'!V9</f>
        <v>0</v>
      </c>
      <c r="X13" s="43">
        <f>'Naudas plūsma'!W9</f>
        <v>0</v>
      </c>
      <c r="Y13" s="43">
        <f>'Naudas plūsma'!X9</f>
        <v>0</v>
      </c>
      <c r="Z13" s="43">
        <f>'Naudas plūsma'!Y9</f>
        <v>0</v>
      </c>
      <c r="AA13" s="43">
        <f>'Naudas plūsma'!Z9</f>
        <v>0</v>
      </c>
      <c r="AB13" s="43">
        <f>'Naudas plūsma'!AA9</f>
        <v>0</v>
      </c>
      <c r="AC13" s="43">
        <f>'Naudas plūsma'!AB9</f>
        <v>0</v>
      </c>
      <c r="AD13" s="43">
        <f>'Naudas plūsma'!AC9</f>
        <v>0</v>
      </c>
      <c r="AE13" s="43">
        <f>'Naudas plūsma'!AD9</f>
        <v>0</v>
      </c>
      <c r="AF13" s="43">
        <f>'Naudas plūsma'!AE9</f>
        <v>0</v>
      </c>
      <c r="AG13" s="43">
        <f>'Naudas plūsma'!AF9</f>
        <v>0</v>
      </c>
      <c r="AH13" s="43">
        <f>'Naudas plūsma'!AG9</f>
        <v>0</v>
      </c>
      <c r="AI13" s="43">
        <f>'Naudas plūsma'!AH9</f>
        <v>0</v>
      </c>
      <c r="AJ13" s="43">
        <f>'Naudas plūsma'!AI9</f>
        <v>-44839.872005822675</v>
      </c>
      <c r="AK13" s="43">
        <f>'Naudas plūsma'!AJ9</f>
        <v>-45736.669445939136</v>
      </c>
      <c r="AL13" s="43">
        <f>'Naudas plūsma'!AK9</f>
        <v>-46651.402834857923</v>
      </c>
      <c r="AM13" s="43">
        <f>'Naudas plūsma'!AL9</f>
        <v>-47584.430891555072</v>
      </c>
      <c r="AN13" s="43">
        <f>'Naudas plūsma'!AM9</f>
        <v>-48536.119509386175</v>
      </c>
      <c r="AO13" s="43">
        <f>'Naudas plūsma'!AN9</f>
        <v>-49506.841899573898</v>
      </c>
      <c r="AP13" s="43">
        <f>'Naudas plūsma'!AO9</f>
        <v>-50496.978737565383</v>
      </c>
      <c r="AQ13" s="43">
        <f>'Naudas plūsma'!AP9</f>
        <v>-51506.918312316695</v>
      </c>
      <c r="AR13" s="43">
        <f>'Naudas plūsma'!AQ9</f>
        <v>-52537.056678563007</v>
      </c>
      <c r="AS13" s="43">
        <f>'Naudas plūsma'!AR9</f>
        <v>-53587.797812134289</v>
      </c>
      <c r="AT13" s="43">
        <f>'Naudas plūsma'!AS9</f>
        <v>-54659.553768376965</v>
      </c>
      <c r="AU13" s="43">
        <f>'Naudas plūsma'!AT9</f>
        <v>-55752.744843744498</v>
      </c>
      <c r="AV13" s="43">
        <f>'Naudas plūsma'!AU9</f>
        <v>-56867.79974061939</v>
      </c>
      <c r="AW13" s="43">
        <f>'Naudas plūsma'!AV9</f>
        <v>-58005.155735431792</v>
      </c>
      <c r="AX13" s="43">
        <f>'Naudas plūsma'!AW9</f>
        <v>-59165.258850140417</v>
      </c>
      <c r="AY13" s="43">
        <f>'Naudas plūsma'!AX9</f>
        <v>-60348.564027143235</v>
      </c>
      <c r="AZ13" s="43">
        <f>'Naudas plūsma'!AY9</f>
        <v>-61555.535307686077</v>
      </c>
      <c r="BA13" s="43">
        <f>'Naudas plūsma'!AZ9</f>
        <v>-62786.646013839811</v>
      </c>
      <c r="BB13" s="43"/>
    </row>
    <row r="14" spans="2:58" ht="13.25" x14ac:dyDescent="0.25">
      <c r="B14" s="43" t="s">
        <v>80</v>
      </c>
      <c r="C14" s="37" t="s">
        <v>79</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row>
    <row r="16" spans="2:58" s="43" customFormat="1" ht="13" x14ac:dyDescent="0.3">
      <c r="B16" s="42" t="s">
        <v>69</v>
      </c>
      <c r="C16" s="49" t="s">
        <v>79</v>
      </c>
      <c r="D16" s="42">
        <f t="shared" ref="D16:AI16" si="4">D4+D8</f>
        <v>0</v>
      </c>
      <c r="E16" s="42">
        <f t="shared" si="4"/>
        <v>0</v>
      </c>
      <c r="F16" s="42" t="e">
        <f t="shared" si="4"/>
        <v>#REF!</v>
      </c>
      <c r="G16" s="42" t="e">
        <f t="shared" si="4"/>
        <v>#REF!</v>
      </c>
      <c r="H16" s="42" t="e">
        <f t="shared" si="4"/>
        <v>#REF!</v>
      </c>
      <c r="I16" s="42" t="e">
        <f t="shared" si="4"/>
        <v>#REF!</v>
      </c>
      <c r="J16" s="42" t="e">
        <f t="shared" si="4"/>
        <v>#REF!</v>
      </c>
      <c r="K16" s="42" t="e">
        <f t="shared" si="4"/>
        <v>#REF!</v>
      </c>
      <c r="L16" s="42" t="e">
        <f t="shared" si="4"/>
        <v>#REF!</v>
      </c>
      <c r="M16" s="42" t="e">
        <f t="shared" si="4"/>
        <v>#REF!</v>
      </c>
      <c r="N16" s="42" t="e">
        <f t="shared" si="4"/>
        <v>#REF!</v>
      </c>
      <c r="O16" s="42" t="e">
        <f t="shared" si="4"/>
        <v>#REF!</v>
      </c>
      <c r="P16" s="42" t="e">
        <f t="shared" si="4"/>
        <v>#REF!</v>
      </c>
      <c r="Q16" s="42" t="e">
        <f t="shared" si="4"/>
        <v>#REF!</v>
      </c>
      <c r="R16" s="42" t="e">
        <f t="shared" si="4"/>
        <v>#REF!</v>
      </c>
      <c r="S16" s="42" t="e">
        <f t="shared" si="4"/>
        <v>#REF!</v>
      </c>
      <c r="T16" s="42" t="e">
        <f t="shared" si="4"/>
        <v>#REF!</v>
      </c>
      <c r="U16" s="42" t="e">
        <f t="shared" si="4"/>
        <v>#REF!</v>
      </c>
      <c r="V16" s="42" t="e">
        <f t="shared" si="4"/>
        <v>#REF!</v>
      </c>
      <c r="W16" s="42" t="e">
        <f t="shared" si="4"/>
        <v>#REF!</v>
      </c>
      <c r="X16" s="42" t="e">
        <f t="shared" si="4"/>
        <v>#REF!</v>
      </c>
      <c r="Y16" s="42" t="e">
        <f t="shared" si="4"/>
        <v>#REF!</v>
      </c>
      <c r="Z16" s="42" t="e">
        <f t="shared" si="4"/>
        <v>#REF!</v>
      </c>
      <c r="AA16" s="42" t="e">
        <f t="shared" si="4"/>
        <v>#REF!</v>
      </c>
      <c r="AB16" s="42" t="e">
        <f t="shared" si="4"/>
        <v>#REF!</v>
      </c>
      <c r="AC16" s="42" t="e">
        <f t="shared" si="4"/>
        <v>#REF!</v>
      </c>
      <c r="AD16" s="42" t="e">
        <f t="shared" si="4"/>
        <v>#REF!</v>
      </c>
      <c r="AE16" s="42" t="e">
        <f t="shared" si="4"/>
        <v>#REF!</v>
      </c>
      <c r="AF16" s="42" t="e">
        <f t="shared" si="4"/>
        <v>#REF!</v>
      </c>
      <c r="AG16" s="42" t="e">
        <f t="shared" si="4"/>
        <v>#REF!</v>
      </c>
      <c r="AH16" s="42" t="e">
        <f t="shared" si="4"/>
        <v>#REF!</v>
      </c>
      <c r="AI16" s="42" t="e">
        <f t="shared" si="4"/>
        <v>#REF!</v>
      </c>
      <c r="AJ16" s="42" t="e">
        <f t="shared" ref="AJ16:BA16" si="5">AJ4+AJ8</f>
        <v>#REF!</v>
      </c>
      <c r="AK16" s="42" t="e">
        <f t="shared" si="5"/>
        <v>#REF!</v>
      </c>
      <c r="AL16" s="42" t="e">
        <f t="shared" si="5"/>
        <v>#REF!</v>
      </c>
      <c r="AM16" s="42" t="e">
        <f t="shared" si="5"/>
        <v>#REF!</v>
      </c>
      <c r="AN16" s="42" t="e">
        <f t="shared" si="5"/>
        <v>#REF!</v>
      </c>
      <c r="AO16" s="42" t="e">
        <f t="shared" si="5"/>
        <v>#REF!</v>
      </c>
      <c r="AP16" s="42" t="e">
        <f t="shared" si="5"/>
        <v>#REF!</v>
      </c>
      <c r="AQ16" s="42" t="e">
        <f t="shared" si="5"/>
        <v>#REF!</v>
      </c>
      <c r="AR16" s="42" t="e">
        <f t="shared" si="5"/>
        <v>#REF!</v>
      </c>
      <c r="AS16" s="42" t="e">
        <f t="shared" si="5"/>
        <v>#REF!</v>
      </c>
      <c r="AT16" s="42" t="e">
        <f t="shared" si="5"/>
        <v>#REF!</v>
      </c>
      <c r="AU16" s="42" t="e">
        <f t="shared" si="5"/>
        <v>#REF!</v>
      </c>
      <c r="AV16" s="42" t="e">
        <f t="shared" si="5"/>
        <v>#REF!</v>
      </c>
      <c r="AW16" s="42" t="e">
        <f t="shared" si="5"/>
        <v>#REF!</v>
      </c>
      <c r="AX16" s="42" t="e">
        <f t="shared" si="5"/>
        <v>#REF!</v>
      </c>
      <c r="AY16" s="42" t="e">
        <f t="shared" si="5"/>
        <v>#REF!</v>
      </c>
      <c r="AZ16" s="42" t="e">
        <f t="shared" si="5"/>
        <v>#REF!</v>
      </c>
      <c r="BA16" s="42" t="e">
        <f t="shared" si="5"/>
        <v>#REF!</v>
      </c>
    </row>
    <row r="17" spans="2:53" s="70" customFormat="1" ht="13" x14ac:dyDescent="0.3">
      <c r="B17" s="68" t="s">
        <v>70</v>
      </c>
      <c r="C17" s="69" t="s">
        <v>5</v>
      </c>
      <c r="F17" s="70" t="e">
        <f t="shared" ref="F17:BA17" si="6">F16/F4</f>
        <v>#REF!</v>
      </c>
      <c r="G17" s="70" t="e">
        <f t="shared" si="6"/>
        <v>#REF!</v>
      </c>
      <c r="H17" s="70" t="e">
        <f t="shared" si="6"/>
        <v>#REF!</v>
      </c>
      <c r="I17" s="70" t="e">
        <f t="shared" si="6"/>
        <v>#REF!</v>
      </c>
      <c r="J17" s="70" t="e">
        <f t="shared" si="6"/>
        <v>#REF!</v>
      </c>
      <c r="K17" s="70" t="e">
        <f t="shared" si="6"/>
        <v>#REF!</v>
      </c>
      <c r="L17" s="70" t="e">
        <f t="shared" si="6"/>
        <v>#REF!</v>
      </c>
      <c r="M17" s="70" t="e">
        <f t="shared" si="6"/>
        <v>#REF!</v>
      </c>
      <c r="N17" s="70" t="e">
        <f t="shared" si="6"/>
        <v>#REF!</v>
      </c>
      <c r="O17" s="70" t="e">
        <f t="shared" si="6"/>
        <v>#REF!</v>
      </c>
      <c r="P17" s="70" t="e">
        <f t="shared" si="6"/>
        <v>#REF!</v>
      </c>
      <c r="Q17" s="70" t="e">
        <f t="shared" si="6"/>
        <v>#REF!</v>
      </c>
      <c r="R17" s="70" t="e">
        <f t="shared" si="6"/>
        <v>#REF!</v>
      </c>
      <c r="S17" s="70" t="e">
        <f t="shared" si="6"/>
        <v>#REF!</v>
      </c>
      <c r="T17" s="70" t="e">
        <f t="shared" si="6"/>
        <v>#REF!</v>
      </c>
      <c r="U17" s="70" t="e">
        <f t="shared" si="6"/>
        <v>#REF!</v>
      </c>
      <c r="V17" s="70" t="e">
        <f t="shared" si="6"/>
        <v>#REF!</v>
      </c>
      <c r="W17" s="70" t="e">
        <f t="shared" si="6"/>
        <v>#REF!</v>
      </c>
      <c r="X17" s="70" t="e">
        <f t="shared" si="6"/>
        <v>#REF!</v>
      </c>
      <c r="Y17" s="70" t="e">
        <f t="shared" si="6"/>
        <v>#REF!</v>
      </c>
      <c r="Z17" s="70" t="e">
        <f t="shared" si="6"/>
        <v>#REF!</v>
      </c>
      <c r="AA17" s="70" t="e">
        <f t="shared" si="6"/>
        <v>#REF!</v>
      </c>
      <c r="AB17" s="70" t="e">
        <f t="shared" si="6"/>
        <v>#REF!</v>
      </c>
      <c r="AC17" s="70" t="e">
        <f t="shared" si="6"/>
        <v>#REF!</v>
      </c>
      <c r="AD17" s="70" t="e">
        <f t="shared" si="6"/>
        <v>#REF!</v>
      </c>
      <c r="AE17" s="70" t="e">
        <f t="shared" si="6"/>
        <v>#REF!</v>
      </c>
      <c r="AF17" s="70" t="e">
        <f t="shared" si="6"/>
        <v>#REF!</v>
      </c>
      <c r="AG17" s="70" t="e">
        <f t="shared" si="6"/>
        <v>#REF!</v>
      </c>
      <c r="AH17" s="70" t="e">
        <f t="shared" si="6"/>
        <v>#REF!</v>
      </c>
      <c r="AI17" s="70" t="e">
        <f t="shared" si="6"/>
        <v>#REF!</v>
      </c>
      <c r="AJ17" s="70" t="e">
        <f t="shared" si="6"/>
        <v>#REF!</v>
      </c>
      <c r="AK17" s="70" t="e">
        <f t="shared" si="6"/>
        <v>#REF!</v>
      </c>
      <c r="AL17" s="70" t="e">
        <f t="shared" si="6"/>
        <v>#REF!</v>
      </c>
      <c r="AM17" s="70" t="e">
        <f t="shared" si="6"/>
        <v>#REF!</v>
      </c>
      <c r="AN17" s="70" t="e">
        <f t="shared" si="6"/>
        <v>#REF!</v>
      </c>
      <c r="AO17" s="70" t="e">
        <f t="shared" si="6"/>
        <v>#REF!</v>
      </c>
      <c r="AP17" s="70" t="e">
        <f t="shared" si="6"/>
        <v>#REF!</v>
      </c>
      <c r="AQ17" s="70" t="e">
        <f t="shared" si="6"/>
        <v>#REF!</v>
      </c>
      <c r="AR17" s="70" t="e">
        <f t="shared" si="6"/>
        <v>#REF!</v>
      </c>
      <c r="AS17" s="70" t="e">
        <f t="shared" si="6"/>
        <v>#REF!</v>
      </c>
      <c r="AT17" s="70" t="e">
        <f t="shared" si="6"/>
        <v>#REF!</v>
      </c>
      <c r="AU17" s="70" t="e">
        <f t="shared" si="6"/>
        <v>#REF!</v>
      </c>
      <c r="AV17" s="70" t="e">
        <f t="shared" si="6"/>
        <v>#REF!</v>
      </c>
      <c r="AW17" s="70" t="e">
        <f t="shared" si="6"/>
        <v>#REF!</v>
      </c>
      <c r="AX17" s="70" t="e">
        <f t="shared" si="6"/>
        <v>#REF!</v>
      </c>
      <c r="AY17" s="70" t="e">
        <f t="shared" si="6"/>
        <v>#REF!</v>
      </c>
      <c r="AZ17" s="70" t="e">
        <f t="shared" si="6"/>
        <v>#REF!</v>
      </c>
      <c r="BA17" s="70" t="e">
        <f t="shared" si="6"/>
        <v>#REF!</v>
      </c>
    </row>
    <row r="19" spans="2:53" s="43" customFormat="1" ht="13" x14ac:dyDescent="0.3">
      <c r="B19" s="42" t="s">
        <v>71</v>
      </c>
      <c r="C19" s="49" t="s">
        <v>79</v>
      </c>
      <c r="D19" s="42"/>
      <c r="E19" s="42"/>
      <c r="F19" s="42">
        <f>F21</f>
        <v>24940.693272</v>
      </c>
      <c r="G19" s="42">
        <f t="shared" ref="G19:BA19" si="7">G21</f>
        <v>24940.693272</v>
      </c>
      <c r="H19" s="42">
        <f t="shared" si="7"/>
        <v>24940.693272</v>
      </c>
      <c r="I19" s="42">
        <f t="shared" si="7"/>
        <v>24940.693272</v>
      </c>
      <c r="J19" s="42">
        <f t="shared" si="7"/>
        <v>24940.693272</v>
      </c>
      <c r="K19" s="42">
        <f t="shared" si="7"/>
        <v>24940.693272</v>
      </c>
      <c r="L19" s="42">
        <f t="shared" si="7"/>
        <v>24940.693272</v>
      </c>
      <c r="M19" s="42">
        <f t="shared" si="7"/>
        <v>24940.693272</v>
      </c>
      <c r="N19" s="42">
        <f t="shared" si="7"/>
        <v>24940.693272</v>
      </c>
      <c r="O19" s="42">
        <f t="shared" si="7"/>
        <v>24940.693272</v>
      </c>
      <c r="P19" s="42">
        <f t="shared" si="7"/>
        <v>24940.693272</v>
      </c>
      <c r="Q19" s="42">
        <f t="shared" si="7"/>
        <v>24940.693272</v>
      </c>
      <c r="R19" s="42">
        <f t="shared" si="7"/>
        <v>24940.693272</v>
      </c>
      <c r="S19" s="42">
        <f t="shared" si="7"/>
        <v>24940.693272</v>
      </c>
      <c r="T19" s="42">
        <f t="shared" si="7"/>
        <v>24940.693272</v>
      </c>
      <c r="U19" s="42">
        <f t="shared" si="7"/>
        <v>24940.693272</v>
      </c>
      <c r="V19" s="42">
        <f t="shared" si="7"/>
        <v>24940.693272</v>
      </c>
      <c r="W19" s="42">
        <f t="shared" si="7"/>
        <v>24940.693272</v>
      </c>
      <c r="X19" s="42">
        <f t="shared" si="7"/>
        <v>24940.693272</v>
      </c>
      <c r="Y19" s="42">
        <f t="shared" si="7"/>
        <v>24940.693272</v>
      </c>
      <c r="Z19" s="42">
        <f t="shared" si="7"/>
        <v>24940.693272</v>
      </c>
      <c r="AA19" s="42">
        <f t="shared" si="7"/>
        <v>24940.693272</v>
      </c>
      <c r="AB19" s="42">
        <f t="shared" si="7"/>
        <v>24940.693272</v>
      </c>
      <c r="AC19" s="42">
        <f t="shared" si="7"/>
        <v>24940.693272</v>
      </c>
      <c r="AD19" s="42">
        <f t="shared" si="7"/>
        <v>24940.693272</v>
      </c>
      <c r="AE19" s="42">
        <f t="shared" si="7"/>
        <v>24940.693272</v>
      </c>
      <c r="AF19" s="42">
        <f t="shared" si="7"/>
        <v>24940.693272</v>
      </c>
      <c r="AG19" s="42">
        <f t="shared" si="7"/>
        <v>24940.693272</v>
      </c>
      <c r="AH19" s="42">
        <f t="shared" si="7"/>
        <v>24940.693272</v>
      </c>
      <c r="AI19" s="42">
        <f t="shared" si="7"/>
        <v>24940.693272</v>
      </c>
      <c r="AJ19" s="42">
        <f t="shared" si="7"/>
        <v>24940.693272</v>
      </c>
      <c r="AK19" s="42">
        <f t="shared" si="7"/>
        <v>24940.693272</v>
      </c>
      <c r="AL19" s="42">
        <f t="shared" si="7"/>
        <v>24940.693272</v>
      </c>
      <c r="AM19" s="42">
        <f t="shared" si="7"/>
        <v>24940.693272</v>
      </c>
      <c r="AN19" s="42">
        <f t="shared" si="7"/>
        <v>24940.693272</v>
      </c>
      <c r="AO19" s="42">
        <f t="shared" si="7"/>
        <v>24940.693272</v>
      </c>
      <c r="AP19" s="42">
        <f t="shared" si="7"/>
        <v>24940.693272</v>
      </c>
      <c r="AQ19" s="42">
        <f t="shared" si="7"/>
        <v>24940.693272</v>
      </c>
      <c r="AR19" s="42">
        <f t="shared" si="7"/>
        <v>24940.693272</v>
      </c>
      <c r="AS19" s="42">
        <f t="shared" si="7"/>
        <v>24940.693272</v>
      </c>
      <c r="AT19" s="42">
        <f t="shared" si="7"/>
        <v>24940.693272</v>
      </c>
      <c r="AU19" s="42">
        <f t="shared" si="7"/>
        <v>24940.693272</v>
      </c>
      <c r="AV19" s="42">
        <f t="shared" si="7"/>
        <v>24940.693272</v>
      </c>
      <c r="AW19" s="42">
        <f t="shared" si="7"/>
        <v>24940.693272</v>
      </c>
      <c r="AX19" s="42">
        <f t="shared" si="7"/>
        <v>24940.693272</v>
      </c>
      <c r="AY19" s="42">
        <f t="shared" si="7"/>
        <v>24940.693272</v>
      </c>
      <c r="AZ19" s="42">
        <f t="shared" si="7"/>
        <v>24940.693272</v>
      </c>
      <c r="BA19" s="42">
        <f t="shared" si="7"/>
        <v>24940.693272</v>
      </c>
    </row>
    <row r="20" spans="2:53" s="52" customFormat="1" ht="13" x14ac:dyDescent="0.3">
      <c r="B20" s="56"/>
      <c r="C20" s="71"/>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row>
    <row r="21" spans="2:53" s="43" customFormat="1" ht="13.25" x14ac:dyDescent="0.25">
      <c r="B21" s="43" t="s">
        <v>72</v>
      </c>
      <c r="C21" s="48" t="s">
        <v>79</v>
      </c>
      <c r="F21" s="43">
        <f>'Pamatlīdzekļu nolietojums'!H9</f>
        <v>24940.693272</v>
      </c>
      <c r="G21" s="43">
        <f>'Pamatlīdzekļu nolietojums'!I9</f>
        <v>24940.693272</v>
      </c>
      <c r="H21" s="43">
        <f>'Pamatlīdzekļu nolietojums'!J9</f>
        <v>24940.693272</v>
      </c>
      <c r="I21" s="43">
        <f>'Pamatlīdzekļu nolietojums'!K9</f>
        <v>24940.693272</v>
      </c>
      <c r="J21" s="43">
        <f>'Pamatlīdzekļu nolietojums'!L9</f>
        <v>24940.693272</v>
      </c>
      <c r="K21" s="43">
        <f>'Pamatlīdzekļu nolietojums'!M9</f>
        <v>24940.693272</v>
      </c>
      <c r="L21" s="43">
        <f>'Pamatlīdzekļu nolietojums'!N9</f>
        <v>24940.693272</v>
      </c>
      <c r="M21" s="43">
        <f>'Pamatlīdzekļu nolietojums'!O9</f>
        <v>24940.693272</v>
      </c>
      <c r="N21" s="43">
        <f>'Pamatlīdzekļu nolietojums'!P9</f>
        <v>24940.693272</v>
      </c>
      <c r="O21" s="43">
        <f>'Pamatlīdzekļu nolietojums'!Q9</f>
        <v>24940.693272</v>
      </c>
      <c r="P21" s="43">
        <f>'Pamatlīdzekļu nolietojums'!R9</f>
        <v>24940.693272</v>
      </c>
      <c r="Q21" s="43">
        <f>'Pamatlīdzekļu nolietojums'!S9</f>
        <v>24940.693272</v>
      </c>
      <c r="R21" s="43">
        <f>'Pamatlīdzekļu nolietojums'!T9</f>
        <v>24940.693272</v>
      </c>
      <c r="S21" s="43">
        <f>'Pamatlīdzekļu nolietojums'!U9</f>
        <v>24940.693272</v>
      </c>
      <c r="T21" s="43">
        <f>'Pamatlīdzekļu nolietojums'!V9</f>
        <v>24940.693272</v>
      </c>
      <c r="U21" s="43">
        <f>'Pamatlīdzekļu nolietojums'!W9</f>
        <v>24940.693272</v>
      </c>
      <c r="V21" s="43">
        <f>'Pamatlīdzekļu nolietojums'!X9</f>
        <v>24940.693272</v>
      </c>
      <c r="W21" s="43">
        <f>'Pamatlīdzekļu nolietojums'!Y9</f>
        <v>24940.693272</v>
      </c>
      <c r="X21" s="43">
        <f>'Pamatlīdzekļu nolietojums'!Z9</f>
        <v>24940.693272</v>
      </c>
      <c r="Y21" s="43">
        <f>'Pamatlīdzekļu nolietojums'!AA9</f>
        <v>24940.693272</v>
      </c>
      <c r="Z21" s="43">
        <f>'Pamatlīdzekļu nolietojums'!AB9</f>
        <v>24940.693272</v>
      </c>
      <c r="AA21" s="43">
        <f>'Pamatlīdzekļu nolietojums'!AC9</f>
        <v>24940.693272</v>
      </c>
      <c r="AB21" s="43">
        <f>'Pamatlīdzekļu nolietojums'!AD9</f>
        <v>24940.693272</v>
      </c>
      <c r="AC21" s="43">
        <f>'Pamatlīdzekļu nolietojums'!AE9</f>
        <v>24940.693272</v>
      </c>
      <c r="AD21" s="43">
        <f>'Pamatlīdzekļu nolietojums'!AF9</f>
        <v>24940.693272</v>
      </c>
      <c r="AE21" s="43">
        <f>'Pamatlīdzekļu nolietojums'!AG9</f>
        <v>24940.693272</v>
      </c>
      <c r="AF21" s="43">
        <f>'Pamatlīdzekļu nolietojums'!AH9</f>
        <v>24940.693272</v>
      </c>
      <c r="AG21" s="43">
        <f>'Pamatlīdzekļu nolietojums'!AI9</f>
        <v>24940.693272</v>
      </c>
      <c r="AH21" s="43">
        <f>'Pamatlīdzekļu nolietojums'!AJ9</f>
        <v>24940.693272</v>
      </c>
      <c r="AI21" s="43">
        <f>'Pamatlīdzekļu nolietojums'!AK9</f>
        <v>24940.693272</v>
      </c>
      <c r="AJ21" s="43">
        <f>'Pamatlīdzekļu nolietojums'!AL9</f>
        <v>24940.693272</v>
      </c>
      <c r="AK21" s="43">
        <f>'Pamatlīdzekļu nolietojums'!AM9</f>
        <v>24940.693272</v>
      </c>
      <c r="AL21" s="43">
        <f>'Pamatlīdzekļu nolietojums'!AN9</f>
        <v>24940.693272</v>
      </c>
      <c r="AM21" s="43">
        <f>'Pamatlīdzekļu nolietojums'!AO9</f>
        <v>24940.693272</v>
      </c>
      <c r="AN21" s="43">
        <f>'Pamatlīdzekļu nolietojums'!AP9</f>
        <v>24940.693272</v>
      </c>
      <c r="AO21" s="43">
        <f>'Pamatlīdzekļu nolietojums'!AQ9</f>
        <v>24940.693272</v>
      </c>
      <c r="AP21" s="43">
        <f>'Pamatlīdzekļu nolietojums'!AR9</f>
        <v>24940.693272</v>
      </c>
      <c r="AQ21" s="43">
        <f>'Pamatlīdzekļu nolietojums'!AS9</f>
        <v>24940.693272</v>
      </c>
      <c r="AR21" s="43">
        <f>'Pamatlīdzekļu nolietojums'!AT9</f>
        <v>24940.693272</v>
      </c>
      <c r="AS21" s="43">
        <f>'Pamatlīdzekļu nolietojums'!AU9</f>
        <v>24940.693272</v>
      </c>
      <c r="AT21" s="43">
        <f>'Pamatlīdzekļu nolietojums'!AV9</f>
        <v>24940.693272</v>
      </c>
      <c r="AU21" s="43">
        <f>'Pamatlīdzekļu nolietojums'!AW9</f>
        <v>24940.693272</v>
      </c>
      <c r="AV21" s="43">
        <f>'Pamatlīdzekļu nolietojums'!AX9</f>
        <v>24940.693272</v>
      </c>
      <c r="AW21" s="43">
        <f>'Pamatlīdzekļu nolietojums'!AY9</f>
        <v>24940.693272</v>
      </c>
      <c r="AX21" s="43">
        <f>'Pamatlīdzekļu nolietojums'!AZ9</f>
        <v>24940.693272</v>
      </c>
      <c r="AY21" s="43">
        <f>'Pamatlīdzekļu nolietojums'!BA9</f>
        <v>24940.693272</v>
      </c>
      <c r="AZ21" s="43">
        <f>'Pamatlīdzekļu nolietojums'!BB9</f>
        <v>24940.693272</v>
      </c>
      <c r="BA21" s="43">
        <f>'Pamatlīdzekļu nolietojums'!BC9</f>
        <v>24940.693272</v>
      </c>
    </row>
    <row r="22" spans="2:53" s="43" customFormat="1" ht="13.25" x14ac:dyDescent="0.25">
      <c r="C22" s="48"/>
    </row>
    <row r="23" spans="2:53" s="43" customFormat="1" ht="13" x14ac:dyDescent="0.3">
      <c r="B23" s="42" t="s">
        <v>82</v>
      </c>
      <c r="C23" s="49"/>
      <c r="D23" s="42"/>
      <c r="E23" s="42"/>
      <c r="F23" s="42">
        <f>F25</f>
        <v>285187.96799999999</v>
      </c>
      <c r="G23" s="42">
        <f t="shared" ref="G23:BA23" si="8">G25</f>
        <v>0</v>
      </c>
      <c r="H23" s="42">
        <f t="shared" si="8"/>
        <v>0</v>
      </c>
      <c r="I23" s="42">
        <f t="shared" si="8"/>
        <v>0</v>
      </c>
      <c r="J23" s="42">
        <f t="shared" si="8"/>
        <v>0</v>
      </c>
      <c r="K23" s="42">
        <f t="shared" si="8"/>
        <v>0</v>
      </c>
      <c r="L23" s="42">
        <f t="shared" si="8"/>
        <v>0</v>
      </c>
      <c r="M23" s="42">
        <f t="shared" si="8"/>
        <v>0</v>
      </c>
      <c r="N23" s="42">
        <f t="shared" si="8"/>
        <v>0</v>
      </c>
      <c r="O23" s="42">
        <f t="shared" si="8"/>
        <v>0</v>
      </c>
      <c r="P23" s="42">
        <f t="shared" si="8"/>
        <v>0</v>
      </c>
      <c r="Q23" s="42">
        <f t="shared" si="8"/>
        <v>0</v>
      </c>
      <c r="R23" s="42">
        <f t="shared" si="8"/>
        <v>0</v>
      </c>
      <c r="S23" s="42">
        <f t="shared" si="8"/>
        <v>0</v>
      </c>
      <c r="T23" s="42">
        <f t="shared" si="8"/>
        <v>0</v>
      </c>
      <c r="U23" s="42">
        <f t="shared" si="8"/>
        <v>0</v>
      </c>
      <c r="V23" s="42">
        <f t="shared" si="8"/>
        <v>0</v>
      </c>
      <c r="W23" s="42">
        <f t="shared" si="8"/>
        <v>0</v>
      </c>
      <c r="X23" s="42">
        <f t="shared" si="8"/>
        <v>0</v>
      </c>
      <c r="Y23" s="42">
        <f t="shared" si="8"/>
        <v>0</v>
      </c>
      <c r="Z23" s="42">
        <f t="shared" si="8"/>
        <v>0</v>
      </c>
      <c r="AA23" s="42">
        <f t="shared" si="8"/>
        <v>0</v>
      </c>
      <c r="AB23" s="42">
        <f t="shared" si="8"/>
        <v>0</v>
      </c>
      <c r="AC23" s="42">
        <f t="shared" si="8"/>
        <v>0</v>
      </c>
      <c r="AD23" s="42">
        <f t="shared" si="8"/>
        <v>0</v>
      </c>
      <c r="AE23" s="42">
        <f t="shared" si="8"/>
        <v>0</v>
      </c>
      <c r="AF23" s="42">
        <f t="shared" si="8"/>
        <v>0</v>
      </c>
      <c r="AG23" s="42">
        <f t="shared" si="8"/>
        <v>0</v>
      </c>
      <c r="AH23" s="42">
        <f t="shared" si="8"/>
        <v>0</v>
      </c>
      <c r="AI23" s="42">
        <f t="shared" si="8"/>
        <v>0</v>
      </c>
      <c r="AJ23" s="42">
        <f t="shared" si="8"/>
        <v>0</v>
      </c>
      <c r="AK23" s="42">
        <f t="shared" si="8"/>
        <v>0</v>
      </c>
      <c r="AL23" s="42">
        <f t="shared" si="8"/>
        <v>0</v>
      </c>
      <c r="AM23" s="42">
        <f t="shared" si="8"/>
        <v>0</v>
      </c>
      <c r="AN23" s="42">
        <f t="shared" si="8"/>
        <v>0</v>
      </c>
      <c r="AO23" s="42">
        <f t="shared" si="8"/>
        <v>0</v>
      </c>
      <c r="AP23" s="42">
        <f t="shared" si="8"/>
        <v>0</v>
      </c>
      <c r="AQ23" s="42">
        <f t="shared" si="8"/>
        <v>0</v>
      </c>
      <c r="AR23" s="42">
        <f t="shared" si="8"/>
        <v>0</v>
      </c>
      <c r="AS23" s="42">
        <f t="shared" si="8"/>
        <v>0</v>
      </c>
      <c r="AT23" s="42">
        <f t="shared" si="8"/>
        <v>0</v>
      </c>
      <c r="AU23" s="42">
        <f t="shared" si="8"/>
        <v>0</v>
      </c>
      <c r="AV23" s="42">
        <f t="shared" si="8"/>
        <v>0</v>
      </c>
      <c r="AW23" s="42">
        <f t="shared" si="8"/>
        <v>0</v>
      </c>
      <c r="AX23" s="42">
        <f t="shared" si="8"/>
        <v>0</v>
      </c>
      <c r="AY23" s="42">
        <f t="shared" si="8"/>
        <v>0</v>
      </c>
      <c r="AZ23" s="42">
        <f t="shared" si="8"/>
        <v>0</v>
      </c>
      <c r="BA23" s="42">
        <f t="shared" si="8"/>
        <v>0</v>
      </c>
    </row>
    <row r="24" spans="2:53" s="52" customFormat="1" ht="13" x14ac:dyDescent="0.3">
      <c r="B24" s="56"/>
      <c r="C24" s="71"/>
      <c r="D24" s="56"/>
      <c r="E24" s="5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row>
    <row r="25" spans="2:53" s="43" customFormat="1" ht="13.25" x14ac:dyDescent="0.25">
      <c r="B25" s="43" t="s">
        <v>24</v>
      </c>
      <c r="C25" s="48"/>
      <c r="F25" s="43">
        <f>-Finansējums!L38</f>
        <v>285187.96799999999</v>
      </c>
    </row>
    <row r="26" spans="2:53" s="43" customFormat="1" ht="13.25" x14ac:dyDescent="0.25">
      <c r="C26" s="48"/>
    </row>
    <row r="27" spans="2:53" s="43" customFormat="1" ht="13" x14ac:dyDescent="0.3">
      <c r="B27" s="42" t="s">
        <v>42</v>
      </c>
      <c r="C27" s="49" t="s">
        <v>79</v>
      </c>
      <c r="D27" s="42">
        <f t="shared" ref="D27:E27" si="9">SUM(D29:D30)</f>
        <v>-7487.7409252500011</v>
      </c>
      <c r="E27" s="42">
        <f t="shared" si="9"/>
        <v>-22463.222775750004</v>
      </c>
      <c r="F27" s="42">
        <f>SUM(F29:F30)</f>
        <v>-26100.926133000004</v>
      </c>
      <c r="G27" s="42">
        <f t="shared" ref="G27:BA27" si="10">SUM(G29:G30)</f>
        <v>-22250.888565000005</v>
      </c>
      <c r="H27" s="42">
        <f t="shared" si="10"/>
        <v>-22250.888565000005</v>
      </c>
      <c r="I27" s="42">
        <f t="shared" si="10"/>
        <v>-22250.888565000005</v>
      </c>
      <c r="J27" s="42">
        <f t="shared" si="10"/>
        <v>-22250.888565000005</v>
      </c>
      <c r="K27" s="42">
        <f t="shared" si="10"/>
        <v>-21908.351650350007</v>
      </c>
      <c r="L27" s="42">
        <f t="shared" si="10"/>
        <v>-21223.277821050004</v>
      </c>
      <c r="M27" s="42">
        <f t="shared" si="10"/>
        <v>-20538.203991750004</v>
      </c>
      <c r="N27" s="42">
        <f t="shared" si="10"/>
        <v>-19853.130162450005</v>
      </c>
      <c r="O27" s="42">
        <f t="shared" si="10"/>
        <v>-19168.056333150005</v>
      </c>
      <c r="P27" s="42">
        <f t="shared" si="10"/>
        <v>-18097.978747050005</v>
      </c>
      <c r="Q27" s="42">
        <f t="shared" si="10"/>
        <v>-16642.897404150001</v>
      </c>
      <c r="R27" s="42">
        <f t="shared" si="10"/>
        <v>-15187.816061250003</v>
      </c>
      <c r="S27" s="42">
        <f t="shared" si="10"/>
        <v>-13732.734718350002</v>
      </c>
      <c r="T27" s="42">
        <f t="shared" si="10"/>
        <v>-12277.653375450001</v>
      </c>
      <c r="U27" s="42">
        <f t="shared" si="10"/>
        <v>-11165.1089472</v>
      </c>
      <c r="V27" s="42">
        <f t="shared" si="10"/>
        <v>-10395.101433600001</v>
      </c>
      <c r="W27" s="42">
        <f t="shared" si="10"/>
        <v>-9625.0939200000012</v>
      </c>
      <c r="X27" s="42">
        <f t="shared" si="10"/>
        <v>-8855.0864063999998</v>
      </c>
      <c r="Y27" s="42">
        <f t="shared" si="10"/>
        <v>-8085.0788928000002</v>
      </c>
      <c r="Z27" s="42">
        <f t="shared" si="10"/>
        <v>-7315.0713791999997</v>
      </c>
      <c r="AA27" s="42">
        <f t="shared" si="10"/>
        <v>-6545.0638655999992</v>
      </c>
      <c r="AB27" s="42">
        <f t="shared" si="10"/>
        <v>-5775.0563519999987</v>
      </c>
      <c r="AC27" s="42">
        <f t="shared" si="10"/>
        <v>-5005.0488383999991</v>
      </c>
      <c r="AD27" s="42">
        <f t="shared" si="10"/>
        <v>-4235.0413248000004</v>
      </c>
      <c r="AE27" s="42">
        <f t="shared" si="10"/>
        <v>-3465.0338111999999</v>
      </c>
      <c r="AF27" s="42">
        <f t="shared" si="10"/>
        <v>-2695.0262976000004</v>
      </c>
      <c r="AG27" s="42">
        <f t="shared" si="10"/>
        <v>-1925.0187839999999</v>
      </c>
      <c r="AH27" s="42">
        <f t="shared" si="10"/>
        <v>-1155.0112704000001</v>
      </c>
      <c r="AI27" s="42">
        <f t="shared" si="10"/>
        <v>-385.00375680000002</v>
      </c>
      <c r="AJ27" s="42">
        <f t="shared" si="10"/>
        <v>0</v>
      </c>
      <c r="AK27" s="42">
        <f t="shared" si="10"/>
        <v>0</v>
      </c>
      <c r="AL27" s="42">
        <f t="shared" si="10"/>
        <v>0</v>
      </c>
      <c r="AM27" s="42">
        <f t="shared" si="10"/>
        <v>0</v>
      </c>
      <c r="AN27" s="42">
        <f t="shared" si="10"/>
        <v>0</v>
      </c>
      <c r="AO27" s="42">
        <f t="shared" si="10"/>
        <v>0</v>
      </c>
      <c r="AP27" s="42">
        <f t="shared" si="10"/>
        <v>0</v>
      </c>
      <c r="AQ27" s="42">
        <f t="shared" si="10"/>
        <v>0</v>
      </c>
      <c r="AR27" s="42">
        <f t="shared" si="10"/>
        <v>0</v>
      </c>
      <c r="AS27" s="42">
        <f t="shared" si="10"/>
        <v>0</v>
      </c>
      <c r="AT27" s="42">
        <f t="shared" si="10"/>
        <v>0</v>
      </c>
      <c r="AU27" s="42">
        <f t="shared" si="10"/>
        <v>0</v>
      </c>
      <c r="AV27" s="42">
        <f t="shared" si="10"/>
        <v>0</v>
      </c>
      <c r="AW27" s="42">
        <f t="shared" si="10"/>
        <v>0</v>
      </c>
      <c r="AX27" s="42">
        <f t="shared" si="10"/>
        <v>0</v>
      </c>
      <c r="AY27" s="42">
        <f t="shared" si="10"/>
        <v>0</v>
      </c>
      <c r="AZ27" s="42">
        <f t="shared" si="10"/>
        <v>0</v>
      </c>
      <c r="BA27" s="42">
        <f t="shared" si="10"/>
        <v>0</v>
      </c>
    </row>
    <row r="28" spans="2:53" s="52" customFormat="1" ht="13" x14ac:dyDescent="0.3">
      <c r="B28" s="56"/>
      <c r="C28" s="71"/>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row>
    <row r="29" spans="2:53" s="43" customFormat="1" ht="13.25" x14ac:dyDescent="0.25">
      <c r="B29" s="43" t="s">
        <v>73</v>
      </c>
      <c r="C29" s="48" t="s">
        <v>79</v>
      </c>
      <c r="D29" s="43">
        <f>Finansējums!J40</f>
        <v>-5775.0563520000005</v>
      </c>
      <c r="E29" s="43">
        <f>Finansējums!K40</f>
        <v>-17325.169056000002</v>
      </c>
      <c r="F29" s="43">
        <f>Finansējums!L40</f>
        <v>-19250.187840000002</v>
      </c>
      <c r="G29" s="43">
        <f>Finansējums!M40</f>
        <v>-15400.150272000003</v>
      </c>
      <c r="H29" s="43">
        <f>Finansējums!N40</f>
        <v>-15400.150272000003</v>
      </c>
      <c r="I29" s="43">
        <f>Finansējums!O40</f>
        <v>-15400.150272000003</v>
      </c>
      <c r="J29" s="43">
        <f>Finansējums!P40</f>
        <v>-15400.150272000003</v>
      </c>
      <c r="K29" s="43">
        <f>Finansējums!Q40</f>
        <v>-15400.150272000003</v>
      </c>
      <c r="L29" s="43">
        <f>Finansējums!R40</f>
        <v>-15400.150272000003</v>
      </c>
      <c r="M29" s="43">
        <f>Finansējums!S40</f>
        <v>-15400.150272000003</v>
      </c>
      <c r="N29" s="43">
        <f>Finansējums!T40</f>
        <v>-15400.150272000003</v>
      </c>
      <c r="O29" s="43">
        <f>Finansējums!U40</f>
        <v>-15400.150272000003</v>
      </c>
      <c r="P29" s="43">
        <f>Finansējums!V40</f>
        <v>-15015.146515200004</v>
      </c>
      <c r="Q29" s="43">
        <f>Finansējums!W40</f>
        <v>-14245.1390016</v>
      </c>
      <c r="R29" s="43">
        <f>Finansējums!X40</f>
        <v>-13475.131488000003</v>
      </c>
      <c r="S29" s="43">
        <f>Finansējums!Y40</f>
        <v>-12705.123974400001</v>
      </c>
      <c r="T29" s="43">
        <f>Finansējums!Z40</f>
        <v>-11935.116460800002</v>
      </c>
      <c r="U29" s="43">
        <f>Finansējums!AA40</f>
        <v>-11165.1089472</v>
      </c>
      <c r="V29" s="43">
        <f>Finansējums!AB40</f>
        <v>-10395.101433600001</v>
      </c>
      <c r="W29" s="43">
        <f>Finansējums!AC40</f>
        <v>-9625.0939200000012</v>
      </c>
      <c r="X29" s="43">
        <f>Finansējums!AD40</f>
        <v>-8855.0864063999998</v>
      </c>
      <c r="Y29" s="43">
        <f>Finansējums!AE40</f>
        <v>-8085.0788928000002</v>
      </c>
      <c r="Z29" s="43">
        <f>Finansējums!AF40</f>
        <v>-7315.0713791999997</v>
      </c>
      <c r="AA29" s="43">
        <f>Finansējums!AG40</f>
        <v>-6545.0638655999992</v>
      </c>
      <c r="AB29" s="43">
        <f>Finansējums!AH40</f>
        <v>-5775.0563519999987</v>
      </c>
      <c r="AC29" s="43">
        <f>Finansējums!AI40</f>
        <v>-5005.0488383999991</v>
      </c>
      <c r="AD29" s="43">
        <f>Finansējums!AJ40</f>
        <v>-4235.0413248000004</v>
      </c>
      <c r="AE29" s="43">
        <f>Finansējums!AK40</f>
        <v>-3465.0338111999999</v>
      </c>
      <c r="AF29" s="43">
        <f>Finansējums!AL40</f>
        <v>-2695.0262976000004</v>
      </c>
      <c r="AG29" s="43">
        <f>Finansējums!AM40</f>
        <v>-1925.0187839999999</v>
      </c>
      <c r="AH29" s="43">
        <f>Finansējums!AN40</f>
        <v>-1155.0112704000001</v>
      </c>
      <c r="AI29" s="43">
        <f>Finansējums!AO40</f>
        <v>-385.00375680000002</v>
      </c>
      <c r="AJ29" s="43">
        <f>Finansējums!AP40</f>
        <v>0</v>
      </c>
      <c r="AK29" s="43">
        <f>Finansējums!AQ40</f>
        <v>0</v>
      </c>
      <c r="AL29" s="43">
        <f>Finansējums!AR40</f>
        <v>0</v>
      </c>
      <c r="AM29" s="43">
        <f>Finansējums!AS40</f>
        <v>0</v>
      </c>
      <c r="AN29" s="43">
        <f>Finansējums!AT40</f>
        <v>0</v>
      </c>
      <c r="AO29" s="43">
        <f>Finansējums!AU40</f>
        <v>0</v>
      </c>
      <c r="AP29" s="43">
        <f>Finansējums!AV40</f>
        <v>0</v>
      </c>
      <c r="AQ29" s="43">
        <f>Finansējums!AW40</f>
        <v>0</v>
      </c>
      <c r="AR29" s="43">
        <f>Finansējums!AX40</f>
        <v>0</v>
      </c>
      <c r="AS29" s="43">
        <f>Finansējums!AY40</f>
        <v>0</v>
      </c>
      <c r="AT29" s="43">
        <f>Finansējums!AZ40</f>
        <v>0</v>
      </c>
      <c r="AU29" s="43">
        <f>Finansējums!BA40</f>
        <v>0</v>
      </c>
      <c r="AV29" s="43">
        <f>Finansējums!BB40</f>
        <v>0</v>
      </c>
      <c r="AW29" s="43">
        <f>Finansējums!BC40</f>
        <v>0</v>
      </c>
      <c r="AX29" s="43">
        <f>Finansējums!BD40</f>
        <v>0</v>
      </c>
      <c r="AY29" s="43">
        <f>Finansējums!BE40</f>
        <v>0</v>
      </c>
      <c r="AZ29" s="43">
        <f>Finansējums!BF40</f>
        <v>0</v>
      </c>
      <c r="BA29" s="43">
        <f>Finansējums!BG40</f>
        <v>0</v>
      </c>
    </row>
    <row r="30" spans="2:53" s="43" customFormat="1" ht="13.25" x14ac:dyDescent="0.25">
      <c r="B30" s="43" t="s">
        <v>74</v>
      </c>
      <c r="C30" s="48" t="s">
        <v>79</v>
      </c>
      <c r="D30" s="43">
        <f>Finansējums!J66</f>
        <v>-1712.6845732500003</v>
      </c>
      <c r="E30" s="43">
        <f>Finansējums!K66</f>
        <v>-5138.0537197500016</v>
      </c>
      <c r="F30" s="43">
        <f>Finansējums!L66</f>
        <v>-6850.7382930000012</v>
      </c>
      <c r="G30" s="43">
        <f>Finansējums!M66</f>
        <v>-6850.7382930000012</v>
      </c>
      <c r="H30" s="43">
        <f>Finansējums!N66</f>
        <v>-6850.7382930000012</v>
      </c>
      <c r="I30" s="43">
        <f>Finansējums!O66</f>
        <v>-6850.7382930000012</v>
      </c>
      <c r="J30" s="43">
        <f>Finansējums!P66</f>
        <v>-6850.7382930000012</v>
      </c>
      <c r="K30" s="43">
        <f>Finansējums!Q66</f>
        <v>-6508.2013783500024</v>
      </c>
      <c r="L30" s="43">
        <f>Finansējums!R66</f>
        <v>-5823.1275490500011</v>
      </c>
      <c r="M30" s="43">
        <f>Finansējums!S66</f>
        <v>-5138.0537197500025</v>
      </c>
      <c r="N30" s="43">
        <f>Finansējums!T66</f>
        <v>-4452.9798904500012</v>
      </c>
      <c r="O30" s="43">
        <f>Finansējums!U66</f>
        <v>-3767.9060611500017</v>
      </c>
      <c r="P30" s="43">
        <f>Finansējums!V66</f>
        <v>-3082.8322318500009</v>
      </c>
      <c r="Q30" s="43">
        <f>Finansējums!W66</f>
        <v>-2397.7584025500009</v>
      </c>
      <c r="R30" s="43">
        <f>Finansējums!X66</f>
        <v>-1712.6845732500003</v>
      </c>
      <c r="S30" s="43">
        <f>Finansējums!Y66</f>
        <v>-1027.6107439500001</v>
      </c>
      <c r="T30" s="43">
        <f>Finansējums!Z66</f>
        <v>-342.53691465000003</v>
      </c>
      <c r="U30" s="43">
        <f>Finansējums!AA66</f>
        <v>0</v>
      </c>
      <c r="V30" s="43">
        <f>Finansējums!AB66</f>
        <v>0</v>
      </c>
      <c r="W30" s="43">
        <f>Finansējums!AC66</f>
        <v>0</v>
      </c>
      <c r="X30" s="43">
        <f>Finansējums!AD66</f>
        <v>0</v>
      </c>
      <c r="Y30" s="43">
        <f>Finansējums!AE66</f>
        <v>0</v>
      </c>
      <c r="Z30" s="43">
        <f>Finansējums!AF66</f>
        <v>0</v>
      </c>
      <c r="AA30" s="43">
        <f>Finansējums!AG66</f>
        <v>0</v>
      </c>
      <c r="AB30" s="43">
        <f>Finansējums!AH66</f>
        <v>0</v>
      </c>
      <c r="AC30" s="43">
        <f>Finansējums!AI66</f>
        <v>0</v>
      </c>
      <c r="AD30" s="43">
        <f>Finansējums!AJ66</f>
        <v>0</v>
      </c>
      <c r="AE30" s="43">
        <f>Finansējums!AK66</f>
        <v>0</v>
      </c>
      <c r="AF30" s="43">
        <f>Finansējums!AL66</f>
        <v>0</v>
      </c>
      <c r="AG30" s="43">
        <f>Finansējums!AM66</f>
        <v>0</v>
      </c>
      <c r="AH30" s="43">
        <f>Finansējums!AN66</f>
        <v>0</v>
      </c>
      <c r="AI30" s="43">
        <f>Finansējums!AO66</f>
        <v>0</v>
      </c>
      <c r="AJ30" s="43">
        <f>Finansējums!AP66</f>
        <v>0</v>
      </c>
      <c r="AK30" s="43">
        <f>Finansējums!AQ66</f>
        <v>0</v>
      </c>
      <c r="AL30" s="43">
        <f>Finansējums!AR66</f>
        <v>0</v>
      </c>
      <c r="AM30" s="43">
        <f>Finansējums!AS66</f>
        <v>0</v>
      </c>
      <c r="AN30" s="43">
        <f>Finansējums!AT66</f>
        <v>0</v>
      </c>
      <c r="AO30" s="43">
        <f>Finansējums!AU66</f>
        <v>0</v>
      </c>
      <c r="AP30" s="43">
        <f>Finansējums!AV66</f>
        <v>0</v>
      </c>
      <c r="AQ30" s="43">
        <f>Finansējums!AW66</f>
        <v>0</v>
      </c>
      <c r="AR30" s="43">
        <f>Finansējums!AX66</f>
        <v>0</v>
      </c>
      <c r="AS30" s="43">
        <f>Finansējums!AY66</f>
        <v>0</v>
      </c>
      <c r="AT30" s="43">
        <f>Finansējums!AZ66</f>
        <v>0</v>
      </c>
      <c r="AU30" s="43">
        <f>Finansējums!BA66</f>
        <v>0</v>
      </c>
      <c r="AV30" s="43">
        <f>Finansējums!BB66</f>
        <v>0</v>
      </c>
      <c r="AW30" s="43">
        <f>Finansējums!BC66</f>
        <v>0</v>
      </c>
      <c r="AX30" s="43">
        <f>Finansējums!BD66</f>
        <v>0</v>
      </c>
      <c r="AY30" s="43">
        <f>Finansējums!BE66</f>
        <v>0</v>
      </c>
      <c r="AZ30" s="43">
        <f>Finansējums!BF66</f>
        <v>0</v>
      </c>
      <c r="BA30" s="43">
        <f>Finansējums!BG66</f>
        <v>0</v>
      </c>
    </row>
    <row r="31" spans="2:53" s="43" customFormat="1" ht="13.25" x14ac:dyDescent="0.25">
      <c r="C31" s="48"/>
    </row>
    <row r="32" spans="2:53" s="43" customFormat="1" ht="13" x14ac:dyDescent="0.3">
      <c r="B32" s="42" t="s">
        <v>75</v>
      </c>
      <c r="C32" s="49" t="s">
        <v>79</v>
      </c>
      <c r="D32" s="42">
        <f t="shared" ref="D32:AI32" si="11">D16+D23+D19+D27</f>
        <v>-7487.7409252500011</v>
      </c>
      <c r="E32" s="42">
        <f t="shared" si="11"/>
        <v>-22463.222775750004</v>
      </c>
      <c r="F32" s="42" t="e">
        <f t="shared" si="11"/>
        <v>#REF!</v>
      </c>
      <c r="G32" s="42" t="e">
        <f t="shared" si="11"/>
        <v>#REF!</v>
      </c>
      <c r="H32" s="42" t="e">
        <f t="shared" si="11"/>
        <v>#REF!</v>
      </c>
      <c r="I32" s="42" t="e">
        <f t="shared" si="11"/>
        <v>#REF!</v>
      </c>
      <c r="J32" s="42" t="e">
        <f t="shared" si="11"/>
        <v>#REF!</v>
      </c>
      <c r="K32" s="42" t="e">
        <f t="shared" si="11"/>
        <v>#REF!</v>
      </c>
      <c r="L32" s="42" t="e">
        <f t="shared" si="11"/>
        <v>#REF!</v>
      </c>
      <c r="M32" s="42" t="e">
        <f t="shared" si="11"/>
        <v>#REF!</v>
      </c>
      <c r="N32" s="42" t="e">
        <f t="shared" si="11"/>
        <v>#REF!</v>
      </c>
      <c r="O32" s="42" t="e">
        <f t="shared" si="11"/>
        <v>#REF!</v>
      </c>
      <c r="P32" s="42" t="e">
        <f t="shared" si="11"/>
        <v>#REF!</v>
      </c>
      <c r="Q32" s="42" t="e">
        <f t="shared" si="11"/>
        <v>#REF!</v>
      </c>
      <c r="R32" s="42" t="e">
        <f t="shared" si="11"/>
        <v>#REF!</v>
      </c>
      <c r="S32" s="42" t="e">
        <f t="shared" si="11"/>
        <v>#REF!</v>
      </c>
      <c r="T32" s="42" t="e">
        <f t="shared" si="11"/>
        <v>#REF!</v>
      </c>
      <c r="U32" s="42" t="e">
        <f t="shared" si="11"/>
        <v>#REF!</v>
      </c>
      <c r="V32" s="42" t="e">
        <f t="shared" si="11"/>
        <v>#REF!</v>
      </c>
      <c r="W32" s="42" t="e">
        <f t="shared" si="11"/>
        <v>#REF!</v>
      </c>
      <c r="X32" s="42" t="e">
        <f t="shared" si="11"/>
        <v>#REF!</v>
      </c>
      <c r="Y32" s="42" t="e">
        <f t="shared" si="11"/>
        <v>#REF!</v>
      </c>
      <c r="Z32" s="42" t="e">
        <f t="shared" si="11"/>
        <v>#REF!</v>
      </c>
      <c r="AA32" s="42" t="e">
        <f t="shared" si="11"/>
        <v>#REF!</v>
      </c>
      <c r="AB32" s="42" t="e">
        <f t="shared" si="11"/>
        <v>#REF!</v>
      </c>
      <c r="AC32" s="42" t="e">
        <f t="shared" si="11"/>
        <v>#REF!</v>
      </c>
      <c r="AD32" s="42" t="e">
        <f t="shared" si="11"/>
        <v>#REF!</v>
      </c>
      <c r="AE32" s="42" t="e">
        <f t="shared" si="11"/>
        <v>#REF!</v>
      </c>
      <c r="AF32" s="42" t="e">
        <f t="shared" si="11"/>
        <v>#REF!</v>
      </c>
      <c r="AG32" s="42" t="e">
        <f t="shared" si="11"/>
        <v>#REF!</v>
      </c>
      <c r="AH32" s="42" t="e">
        <f t="shared" si="11"/>
        <v>#REF!</v>
      </c>
      <c r="AI32" s="42" t="e">
        <f t="shared" si="11"/>
        <v>#REF!</v>
      </c>
      <c r="AJ32" s="42" t="e">
        <f t="shared" ref="AJ32:BA32" si="12">AJ16+AJ23+AJ19+AJ27</f>
        <v>#REF!</v>
      </c>
      <c r="AK32" s="42" t="e">
        <f t="shared" si="12"/>
        <v>#REF!</v>
      </c>
      <c r="AL32" s="42" t="e">
        <f t="shared" si="12"/>
        <v>#REF!</v>
      </c>
      <c r="AM32" s="42" t="e">
        <f t="shared" si="12"/>
        <v>#REF!</v>
      </c>
      <c r="AN32" s="42" t="e">
        <f t="shared" si="12"/>
        <v>#REF!</v>
      </c>
      <c r="AO32" s="42" t="e">
        <f t="shared" si="12"/>
        <v>#REF!</v>
      </c>
      <c r="AP32" s="42" t="e">
        <f t="shared" si="12"/>
        <v>#REF!</v>
      </c>
      <c r="AQ32" s="42" t="e">
        <f t="shared" si="12"/>
        <v>#REF!</v>
      </c>
      <c r="AR32" s="42" t="e">
        <f t="shared" si="12"/>
        <v>#REF!</v>
      </c>
      <c r="AS32" s="42" t="e">
        <f t="shared" si="12"/>
        <v>#REF!</v>
      </c>
      <c r="AT32" s="42" t="e">
        <f t="shared" si="12"/>
        <v>#REF!</v>
      </c>
      <c r="AU32" s="42" t="e">
        <f t="shared" si="12"/>
        <v>#REF!</v>
      </c>
      <c r="AV32" s="42" t="e">
        <f t="shared" si="12"/>
        <v>#REF!</v>
      </c>
      <c r="AW32" s="42" t="e">
        <f t="shared" si="12"/>
        <v>#REF!</v>
      </c>
      <c r="AX32" s="42" t="e">
        <f t="shared" si="12"/>
        <v>#REF!</v>
      </c>
      <c r="AY32" s="42" t="e">
        <f t="shared" si="12"/>
        <v>#REF!</v>
      </c>
      <c r="AZ32" s="42" t="e">
        <f t="shared" si="12"/>
        <v>#REF!</v>
      </c>
      <c r="BA32" s="42" t="e">
        <f t="shared" si="12"/>
        <v>#REF!</v>
      </c>
    </row>
    <row r="33" spans="2:53" s="43" customFormat="1" ht="13.25" x14ac:dyDescent="0.25">
      <c r="C33" s="48"/>
    </row>
    <row r="34" spans="2:53" s="43" customFormat="1" ht="13.25" x14ac:dyDescent="0.25">
      <c r="B34" s="43" t="s">
        <v>76</v>
      </c>
      <c r="C34" s="48" t="s">
        <v>79</v>
      </c>
      <c r="F34" s="43" t="e">
        <f>-F32*Pieņēmumi!$D$9</f>
        <v>#REF!</v>
      </c>
      <c r="G34" s="43" t="e">
        <f>-G32*Pieņēmumi!$D$9</f>
        <v>#REF!</v>
      </c>
      <c r="H34" s="43" t="e">
        <f>-H32*Pieņēmumi!$D$9</f>
        <v>#REF!</v>
      </c>
      <c r="I34" s="43" t="e">
        <f>-I32*Pieņēmumi!$D$9</f>
        <v>#REF!</v>
      </c>
      <c r="J34" s="43" t="e">
        <f>-J32*Pieņēmumi!$D$9</f>
        <v>#REF!</v>
      </c>
      <c r="K34" s="43" t="e">
        <f>-K32*Pieņēmumi!$D$9</f>
        <v>#REF!</v>
      </c>
      <c r="L34" s="43" t="e">
        <f>-L32*Pieņēmumi!$D$9</f>
        <v>#REF!</v>
      </c>
      <c r="M34" s="43" t="e">
        <f>-M32*Pieņēmumi!$D$9</f>
        <v>#REF!</v>
      </c>
      <c r="N34" s="43" t="e">
        <f>-N32*Pieņēmumi!$D$9</f>
        <v>#REF!</v>
      </c>
      <c r="O34" s="43" t="e">
        <f>-O32*Pieņēmumi!$D$9</f>
        <v>#REF!</v>
      </c>
      <c r="P34" s="43" t="e">
        <f>-P32*Pieņēmumi!$D$9</f>
        <v>#REF!</v>
      </c>
      <c r="Q34" s="43" t="e">
        <f>-Q32*Pieņēmumi!$D$9</f>
        <v>#REF!</v>
      </c>
      <c r="R34" s="43" t="e">
        <f>-R32*Pieņēmumi!$D$9</f>
        <v>#REF!</v>
      </c>
      <c r="S34" s="43" t="e">
        <f>-S32*Pieņēmumi!$D$9</f>
        <v>#REF!</v>
      </c>
      <c r="T34" s="43" t="e">
        <f>-T32*Pieņēmumi!$D$9</f>
        <v>#REF!</v>
      </c>
      <c r="U34" s="43" t="e">
        <f>-U32*Pieņēmumi!$D$9</f>
        <v>#REF!</v>
      </c>
      <c r="V34" s="43" t="e">
        <f>-V32*Pieņēmumi!$D$9</f>
        <v>#REF!</v>
      </c>
      <c r="W34" s="43" t="e">
        <f>-W32*Pieņēmumi!$D$9</f>
        <v>#REF!</v>
      </c>
      <c r="X34" s="43" t="e">
        <f>-X32*Pieņēmumi!$D$9</f>
        <v>#REF!</v>
      </c>
      <c r="Y34" s="43" t="e">
        <f>-Y32*Pieņēmumi!$D$9</f>
        <v>#REF!</v>
      </c>
      <c r="Z34" s="43" t="e">
        <f>-Z32*Pieņēmumi!$D$9</f>
        <v>#REF!</v>
      </c>
      <c r="AA34" s="43" t="e">
        <f>-AA32*Pieņēmumi!$D$9</f>
        <v>#REF!</v>
      </c>
      <c r="AB34" s="43" t="e">
        <f>-AB32*Pieņēmumi!$D$9</f>
        <v>#REF!</v>
      </c>
      <c r="AC34" s="43" t="e">
        <f>-AC32*Pieņēmumi!$D$9</f>
        <v>#REF!</v>
      </c>
      <c r="AD34" s="43" t="e">
        <f>-AD32*Pieņēmumi!$D$9</f>
        <v>#REF!</v>
      </c>
      <c r="AE34" s="43" t="e">
        <f>-AE32*Pieņēmumi!$D$9</f>
        <v>#REF!</v>
      </c>
      <c r="AF34" s="43" t="e">
        <f>-AF32*Pieņēmumi!$D$9</f>
        <v>#REF!</v>
      </c>
      <c r="AG34" s="43" t="e">
        <f>-AG32*Pieņēmumi!$D$9</f>
        <v>#REF!</v>
      </c>
      <c r="AH34" s="43" t="e">
        <f>-AH32*Pieņēmumi!$D$9</f>
        <v>#REF!</v>
      </c>
      <c r="AI34" s="43" t="e">
        <f>-AI32*Pieņēmumi!$D$9</f>
        <v>#REF!</v>
      </c>
      <c r="AJ34" s="43" t="e">
        <f>-AJ32*Pieņēmumi!$D$9</f>
        <v>#REF!</v>
      </c>
      <c r="AK34" s="43" t="e">
        <f>-AK32*Pieņēmumi!$D$9</f>
        <v>#REF!</v>
      </c>
      <c r="AL34" s="43" t="e">
        <f>-AL32*Pieņēmumi!$D$9</f>
        <v>#REF!</v>
      </c>
      <c r="AM34" s="43" t="e">
        <f>-AM32*Pieņēmumi!$D$9</f>
        <v>#REF!</v>
      </c>
      <c r="AN34" s="43" t="e">
        <f>-AN32*Pieņēmumi!$D$9</f>
        <v>#REF!</v>
      </c>
      <c r="AO34" s="43" t="e">
        <f>-AO32*Pieņēmumi!$D$9</f>
        <v>#REF!</v>
      </c>
      <c r="AP34" s="43" t="e">
        <f>-AP32*Pieņēmumi!$D$9</f>
        <v>#REF!</v>
      </c>
      <c r="AQ34" s="43" t="e">
        <f>-AQ32*Pieņēmumi!$D$9</f>
        <v>#REF!</v>
      </c>
      <c r="AR34" s="43" t="e">
        <f>-AR32*Pieņēmumi!$D$9</f>
        <v>#REF!</v>
      </c>
      <c r="AS34" s="43" t="e">
        <f>-AS32*Pieņēmumi!$D$9</f>
        <v>#REF!</v>
      </c>
      <c r="AT34" s="43" t="e">
        <f>-AT32*Pieņēmumi!$D$9</f>
        <v>#REF!</v>
      </c>
      <c r="AU34" s="43" t="e">
        <f>-AU32*Pieņēmumi!$D$9</f>
        <v>#REF!</v>
      </c>
      <c r="AV34" s="43" t="e">
        <f>-AV32*Pieņēmumi!$D$9</f>
        <v>#REF!</v>
      </c>
      <c r="AW34" s="43" t="e">
        <f>-AW32*Pieņēmumi!$D$9</f>
        <v>#REF!</v>
      </c>
      <c r="AX34" s="43" t="e">
        <f>-AX32*Pieņēmumi!$D$9</f>
        <v>#REF!</v>
      </c>
      <c r="AY34" s="43" t="e">
        <f>-AY32*Pieņēmumi!$D$9</f>
        <v>#REF!</v>
      </c>
      <c r="AZ34" s="43" t="e">
        <f>-AZ32*Pieņēmumi!$D$9</f>
        <v>#REF!</v>
      </c>
      <c r="BA34" s="43" t="e">
        <f>-BA32*Pieņēmumi!$D$9</f>
        <v>#REF!</v>
      </c>
    </row>
    <row r="35" spans="2:53" s="43" customFormat="1" ht="13.25" x14ac:dyDescent="0.25">
      <c r="C35" s="48"/>
    </row>
    <row r="36" spans="2:53" s="43" customFormat="1" ht="13" x14ac:dyDescent="0.3">
      <c r="B36" s="42" t="s">
        <v>77</v>
      </c>
      <c r="C36" s="49" t="s">
        <v>79</v>
      </c>
      <c r="D36" s="42">
        <f t="shared" ref="D36:AI36" si="13">D32+D34</f>
        <v>-7487.7409252500011</v>
      </c>
      <c r="E36" s="42">
        <f t="shared" si="13"/>
        <v>-22463.222775750004</v>
      </c>
      <c r="F36" s="42" t="e">
        <f t="shared" si="13"/>
        <v>#REF!</v>
      </c>
      <c r="G36" s="42" t="e">
        <f t="shared" si="13"/>
        <v>#REF!</v>
      </c>
      <c r="H36" s="42" t="e">
        <f t="shared" si="13"/>
        <v>#REF!</v>
      </c>
      <c r="I36" s="42" t="e">
        <f t="shared" si="13"/>
        <v>#REF!</v>
      </c>
      <c r="J36" s="42" t="e">
        <f t="shared" si="13"/>
        <v>#REF!</v>
      </c>
      <c r="K36" s="42" t="e">
        <f t="shared" si="13"/>
        <v>#REF!</v>
      </c>
      <c r="L36" s="42" t="e">
        <f t="shared" si="13"/>
        <v>#REF!</v>
      </c>
      <c r="M36" s="42" t="e">
        <f t="shared" si="13"/>
        <v>#REF!</v>
      </c>
      <c r="N36" s="42" t="e">
        <f t="shared" si="13"/>
        <v>#REF!</v>
      </c>
      <c r="O36" s="42" t="e">
        <f t="shared" si="13"/>
        <v>#REF!</v>
      </c>
      <c r="P36" s="42" t="e">
        <f t="shared" si="13"/>
        <v>#REF!</v>
      </c>
      <c r="Q36" s="42" t="e">
        <f t="shared" si="13"/>
        <v>#REF!</v>
      </c>
      <c r="R36" s="42" t="e">
        <f t="shared" si="13"/>
        <v>#REF!</v>
      </c>
      <c r="S36" s="42" t="e">
        <f t="shared" si="13"/>
        <v>#REF!</v>
      </c>
      <c r="T36" s="42" t="e">
        <f t="shared" si="13"/>
        <v>#REF!</v>
      </c>
      <c r="U36" s="42" t="e">
        <f t="shared" si="13"/>
        <v>#REF!</v>
      </c>
      <c r="V36" s="42" t="e">
        <f t="shared" si="13"/>
        <v>#REF!</v>
      </c>
      <c r="W36" s="42" t="e">
        <f t="shared" si="13"/>
        <v>#REF!</v>
      </c>
      <c r="X36" s="42" t="e">
        <f t="shared" si="13"/>
        <v>#REF!</v>
      </c>
      <c r="Y36" s="42" t="e">
        <f t="shared" si="13"/>
        <v>#REF!</v>
      </c>
      <c r="Z36" s="42" t="e">
        <f t="shared" si="13"/>
        <v>#REF!</v>
      </c>
      <c r="AA36" s="42" t="e">
        <f t="shared" si="13"/>
        <v>#REF!</v>
      </c>
      <c r="AB36" s="42" t="e">
        <f t="shared" si="13"/>
        <v>#REF!</v>
      </c>
      <c r="AC36" s="42" t="e">
        <f t="shared" si="13"/>
        <v>#REF!</v>
      </c>
      <c r="AD36" s="42" t="e">
        <f t="shared" si="13"/>
        <v>#REF!</v>
      </c>
      <c r="AE36" s="42" t="e">
        <f t="shared" si="13"/>
        <v>#REF!</v>
      </c>
      <c r="AF36" s="42" t="e">
        <f t="shared" si="13"/>
        <v>#REF!</v>
      </c>
      <c r="AG36" s="42" t="e">
        <f t="shared" si="13"/>
        <v>#REF!</v>
      </c>
      <c r="AH36" s="42" t="e">
        <f t="shared" si="13"/>
        <v>#REF!</v>
      </c>
      <c r="AI36" s="42" t="e">
        <f t="shared" si="13"/>
        <v>#REF!</v>
      </c>
      <c r="AJ36" s="42" t="e">
        <f t="shared" ref="AJ36:BA36" si="14">AJ32+AJ34</f>
        <v>#REF!</v>
      </c>
      <c r="AK36" s="42" t="e">
        <f t="shared" si="14"/>
        <v>#REF!</v>
      </c>
      <c r="AL36" s="42" t="e">
        <f t="shared" si="14"/>
        <v>#REF!</v>
      </c>
      <c r="AM36" s="42" t="e">
        <f t="shared" si="14"/>
        <v>#REF!</v>
      </c>
      <c r="AN36" s="42" t="e">
        <f t="shared" si="14"/>
        <v>#REF!</v>
      </c>
      <c r="AO36" s="42" t="e">
        <f t="shared" si="14"/>
        <v>#REF!</v>
      </c>
      <c r="AP36" s="42" t="e">
        <f t="shared" si="14"/>
        <v>#REF!</v>
      </c>
      <c r="AQ36" s="42" t="e">
        <f t="shared" si="14"/>
        <v>#REF!</v>
      </c>
      <c r="AR36" s="42" t="e">
        <f t="shared" si="14"/>
        <v>#REF!</v>
      </c>
      <c r="AS36" s="42" t="e">
        <f t="shared" si="14"/>
        <v>#REF!</v>
      </c>
      <c r="AT36" s="42" t="e">
        <f t="shared" si="14"/>
        <v>#REF!</v>
      </c>
      <c r="AU36" s="42" t="e">
        <f t="shared" si="14"/>
        <v>#REF!</v>
      </c>
      <c r="AV36" s="42" t="e">
        <f t="shared" si="14"/>
        <v>#REF!</v>
      </c>
      <c r="AW36" s="42" t="e">
        <f t="shared" si="14"/>
        <v>#REF!</v>
      </c>
      <c r="AX36" s="42" t="e">
        <f t="shared" si="14"/>
        <v>#REF!</v>
      </c>
      <c r="AY36" s="42" t="e">
        <f t="shared" si="14"/>
        <v>#REF!</v>
      </c>
      <c r="AZ36" s="42" t="e">
        <f t="shared" si="14"/>
        <v>#REF!</v>
      </c>
      <c r="BA36" s="42" t="e">
        <f t="shared" si="14"/>
        <v>#REF!</v>
      </c>
    </row>
    <row r="37" spans="2:53" s="43" customFormat="1" ht="13" x14ac:dyDescent="0.3">
      <c r="B37" s="73" t="s">
        <v>78</v>
      </c>
      <c r="C37" s="48" t="s">
        <v>5</v>
      </c>
      <c r="F37" s="72" t="e">
        <f t="shared" ref="F37:BA37" si="15">F36/F4</f>
        <v>#REF!</v>
      </c>
      <c r="G37" s="72" t="e">
        <f t="shared" si="15"/>
        <v>#REF!</v>
      </c>
      <c r="H37" s="72" t="e">
        <f t="shared" si="15"/>
        <v>#REF!</v>
      </c>
      <c r="I37" s="72" t="e">
        <f t="shared" si="15"/>
        <v>#REF!</v>
      </c>
      <c r="J37" s="72" t="e">
        <f t="shared" si="15"/>
        <v>#REF!</v>
      </c>
      <c r="K37" s="72" t="e">
        <f t="shared" si="15"/>
        <v>#REF!</v>
      </c>
      <c r="L37" s="72" t="e">
        <f t="shared" si="15"/>
        <v>#REF!</v>
      </c>
      <c r="M37" s="72" t="e">
        <f t="shared" si="15"/>
        <v>#REF!</v>
      </c>
      <c r="N37" s="72" t="e">
        <f t="shared" si="15"/>
        <v>#REF!</v>
      </c>
      <c r="O37" s="72" t="e">
        <f t="shared" si="15"/>
        <v>#REF!</v>
      </c>
      <c r="P37" s="72" t="e">
        <f t="shared" si="15"/>
        <v>#REF!</v>
      </c>
      <c r="Q37" s="72" t="e">
        <f t="shared" si="15"/>
        <v>#REF!</v>
      </c>
      <c r="R37" s="72" t="e">
        <f t="shared" si="15"/>
        <v>#REF!</v>
      </c>
      <c r="S37" s="72" t="e">
        <f t="shared" si="15"/>
        <v>#REF!</v>
      </c>
      <c r="T37" s="72" t="e">
        <f t="shared" si="15"/>
        <v>#REF!</v>
      </c>
      <c r="U37" s="72" t="e">
        <f t="shared" si="15"/>
        <v>#REF!</v>
      </c>
      <c r="V37" s="72" t="e">
        <f t="shared" si="15"/>
        <v>#REF!</v>
      </c>
      <c r="W37" s="72" t="e">
        <f t="shared" si="15"/>
        <v>#REF!</v>
      </c>
      <c r="X37" s="72" t="e">
        <f t="shared" si="15"/>
        <v>#REF!</v>
      </c>
      <c r="Y37" s="72" t="e">
        <f t="shared" si="15"/>
        <v>#REF!</v>
      </c>
      <c r="Z37" s="72" t="e">
        <f t="shared" si="15"/>
        <v>#REF!</v>
      </c>
      <c r="AA37" s="72" t="e">
        <f t="shared" si="15"/>
        <v>#REF!</v>
      </c>
      <c r="AB37" s="72" t="e">
        <f t="shared" si="15"/>
        <v>#REF!</v>
      </c>
      <c r="AC37" s="72" t="e">
        <f t="shared" si="15"/>
        <v>#REF!</v>
      </c>
      <c r="AD37" s="72" t="e">
        <f t="shared" si="15"/>
        <v>#REF!</v>
      </c>
      <c r="AE37" s="72" t="e">
        <f t="shared" si="15"/>
        <v>#REF!</v>
      </c>
      <c r="AF37" s="72" t="e">
        <f t="shared" si="15"/>
        <v>#REF!</v>
      </c>
      <c r="AG37" s="72" t="e">
        <f t="shared" si="15"/>
        <v>#REF!</v>
      </c>
      <c r="AH37" s="72" t="e">
        <f t="shared" si="15"/>
        <v>#REF!</v>
      </c>
      <c r="AI37" s="72" t="e">
        <f t="shared" si="15"/>
        <v>#REF!</v>
      </c>
      <c r="AJ37" s="72" t="e">
        <f t="shared" si="15"/>
        <v>#REF!</v>
      </c>
      <c r="AK37" s="72" t="e">
        <f t="shared" si="15"/>
        <v>#REF!</v>
      </c>
      <c r="AL37" s="72" t="e">
        <f t="shared" si="15"/>
        <v>#REF!</v>
      </c>
      <c r="AM37" s="72" t="e">
        <f t="shared" si="15"/>
        <v>#REF!</v>
      </c>
      <c r="AN37" s="72" t="e">
        <f t="shared" si="15"/>
        <v>#REF!</v>
      </c>
      <c r="AO37" s="72" t="e">
        <f t="shared" si="15"/>
        <v>#REF!</v>
      </c>
      <c r="AP37" s="72" t="e">
        <f t="shared" si="15"/>
        <v>#REF!</v>
      </c>
      <c r="AQ37" s="72" t="e">
        <f t="shared" si="15"/>
        <v>#REF!</v>
      </c>
      <c r="AR37" s="72" t="e">
        <f t="shared" si="15"/>
        <v>#REF!</v>
      </c>
      <c r="AS37" s="72" t="e">
        <f t="shared" si="15"/>
        <v>#REF!</v>
      </c>
      <c r="AT37" s="72" t="e">
        <f t="shared" si="15"/>
        <v>#REF!</v>
      </c>
      <c r="AU37" s="72" t="e">
        <f t="shared" si="15"/>
        <v>#REF!</v>
      </c>
      <c r="AV37" s="72" t="e">
        <f t="shared" si="15"/>
        <v>#REF!</v>
      </c>
      <c r="AW37" s="72" t="e">
        <f t="shared" si="15"/>
        <v>#REF!</v>
      </c>
      <c r="AX37" s="72" t="e">
        <f t="shared" si="15"/>
        <v>#REF!</v>
      </c>
      <c r="AY37" s="72" t="e">
        <f t="shared" si="15"/>
        <v>#REF!</v>
      </c>
      <c r="AZ37" s="72" t="e">
        <f t="shared" si="15"/>
        <v>#REF!</v>
      </c>
      <c r="BA37" s="72" t="e">
        <f t="shared" si="15"/>
        <v>#REF!</v>
      </c>
    </row>
    <row r="38" spans="2:53" s="43" customFormat="1" ht="13.25" x14ac:dyDescent="0.25">
      <c r="C38" s="48"/>
    </row>
    <row r="40" spans="2:53" ht="13" x14ac:dyDescent="0.3">
      <c r="D40" s="42">
        <f t="shared" ref="D40:E40" si="16">D36+D38</f>
        <v>-7487.7409252500011</v>
      </c>
      <c r="E40" s="42">
        <f t="shared" si="16"/>
        <v>-22463.222775750004</v>
      </c>
      <c r="F40" s="67">
        <f>WACC!$E$10*Pnl!F4</f>
        <v>4150.7777450360427</v>
      </c>
      <c r="G40" s="67">
        <f>WACC!$E$10*Pnl!G4</f>
        <v>4233.793299936764</v>
      </c>
      <c r="H40" s="67">
        <f>WACC!$E$10*Pnl!H4</f>
        <v>4318.4691659354985</v>
      </c>
      <c r="I40" s="67">
        <f>WACC!$E$10*Pnl!I4</f>
        <v>4404.8385492542084</v>
      </c>
      <c r="J40" s="67">
        <f>WACC!$E$10*Pnl!J4</f>
        <v>4492.935320239294</v>
      </c>
      <c r="K40" s="67">
        <f>WACC!$E$10*Pnl!K4</f>
        <v>4582.7940266440792</v>
      </c>
      <c r="L40" s="67">
        <f>WACC!$E$10*Pnl!L4</f>
        <v>4674.4499071769596</v>
      </c>
      <c r="M40" s="67">
        <f>WACC!$E$10*Pnl!M4</f>
        <v>4767.9389053204995</v>
      </c>
      <c r="N40" s="67">
        <f>WACC!$E$10*Pnl!N4</f>
        <v>4863.2976834269093</v>
      </c>
      <c r="O40" s="67">
        <f>WACC!$E$10*Pnl!O4</f>
        <v>4960.563637095448</v>
      </c>
      <c r="P40" s="67">
        <f>WACC!$E$10*Pnl!P4</f>
        <v>5059.7749098373561</v>
      </c>
      <c r="Q40" s="67">
        <f>WACC!$E$10*Pnl!Q4</f>
        <v>5160.9704080341044</v>
      </c>
      <c r="R40" s="67">
        <f>WACC!$E$10*Pnl!R4</f>
        <v>5264.1898161947856</v>
      </c>
      <c r="S40" s="67">
        <f>WACC!$E$10*Pnl!S4</f>
        <v>5369.4736125186828</v>
      </c>
      <c r="T40" s="67">
        <f>WACC!$E$10*Pnl!T4</f>
        <v>5476.8630847690538</v>
      </c>
      <c r="U40" s="67">
        <f>WACC!$E$10*Pnl!U4</f>
        <v>5586.4003464644366</v>
      </c>
      <c r="V40" s="67">
        <f>WACC!$E$10*Pnl!V4</f>
        <v>5698.1283533937267</v>
      </c>
      <c r="W40" s="67">
        <f>WACC!$E$10*Pnl!W4</f>
        <v>5812.0909204615982</v>
      </c>
      <c r="X40" s="67">
        <f>WACC!$E$10*Pnl!X4</f>
        <v>5928.3327388708303</v>
      </c>
      <c r="Y40" s="67">
        <f>WACC!$E$10*Pnl!Y4</f>
        <v>6046.8993936482484</v>
      </c>
      <c r="Z40" s="67">
        <f>WACC!$E$10*Pnl!Z4</f>
        <v>6167.8373815212126</v>
      </c>
      <c r="AA40" s="67">
        <f>WACC!$E$10*Pnl!AA4</f>
        <v>6291.1941291516378</v>
      </c>
      <c r="AB40" s="67">
        <f>WACC!$E$10*Pnl!AB4</f>
        <v>6417.018011734669</v>
      </c>
      <c r="AC40" s="67">
        <f>WACC!$E$10*Pnl!AC4</f>
        <v>6545.3583719693625</v>
      </c>
      <c r="AD40" s="67">
        <f>WACC!$E$10*Pnl!AD4</f>
        <v>6676.2655394087506</v>
      </c>
      <c r="AE40" s="67">
        <f>WACC!$E$10*Pnl!AE4</f>
        <v>6809.7908501969259</v>
      </c>
      <c r="AF40" s="67">
        <f>WACC!$E$10*Pnl!AF4</f>
        <v>6945.9866672008638</v>
      </c>
      <c r="AG40" s="67">
        <f>WACC!$E$10*Pnl!AG4</f>
        <v>7084.9064005448809</v>
      </c>
      <c r="AH40" s="67">
        <f>WACC!$E$10*Pnl!AH4</f>
        <v>7226.6045285557775</v>
      </c>
      <c r="AI40" s="67">
        <f>WACC!$E$10*Pnl!AI4</f>
        <v>7371.1366191268944</v>
      </c>
      <c r="AJ40" s="67">
        <f>WACC!$E$10*Pnl!AJ4</f>
        <v>7518.5593515094306</v>
      </c>
      <c r="AK40" s="67">
        <f>WACC!$E$10*Pnl!AK4</f>
        <v>7668.930538539621</v>
      </c>
      <c r="AL40" s="67">
        <f>WACC!$E$10*Pnl!AL4</f>
        <v>7822.3091493104139</v>
      </c>
      <c r="AM40" s="67">
        <f>WACC!$E$10*Pnl!AM4</f>
        <v>7978.7553322966205</v>
      </c>
      <c r="AN40" s="67">
        <f>WACC!$E$10*Pnl!AN4</f>
        <v>8138.330438942553</v>
      </c>
      <c r="AO40" s="67">
        <f>WACC!$E$10*Pnl!AO4</f>
        <v>8301.0970477214032</v>
      </c>
      <c r="AP40" s="67">
        <f>WACC!$E$10*Pnl!AP4</f>
        <v>8467.118988675833</v>
      </c>
      <c r="AQ40" s="67">
        <f>WACC!$E$10*Pnl!AQ4</f>
        <v>8636.4613684493506</v>
      </c>
      <c r="AR40" s="67">
        <f>WACC!$E$10*Pnl!AR4</f>
        <v>8809.1905958183343</v>
      </c>
      <c r="AS40" s="67">
        <f>WACC!$E$10*Pnl!AS4</f>
        <v>8985.3744077347037</v>
      </c>
      <c r="AT40" s="67">
        <f>WACC!$E$10*Pnl!AT4</f>
        <v>9165.081895889396</v>
      </c>
      <c r="AU40" s="67">
        <f>WACC!$E$10*Pnl!AU4</f>
        <v>9348.383533807184</v>
      </c>
      <c r="AV40" s="67">
        <f>WACC!$E$10*Pnl!AV4</f>
        <v>9535.3512044833278</v>
      </c>
      <c r="AW40" s="67">
        <f>WACC!$E$10*Pnl!AW4</f>
        <v>9726.0582285729961</v>
      </c>
      <c r="AX40" s="67">
        <f>WACC!$E$10*Pnl!AX4</f>
        <v>9920.579393144455</v>
      </c>
      <c r="AY40" s="67">
        <f>WACC!$E$10*Pnl!AY4</f>
        <v>10118.990981007346</v>
      </c>
      <c r="AZ40" s="67">
        <f>WACC!$E$10*Pnl!AZ4</f>
        <v>10321.370800627488</v>
      </c>
      <c r="BA40" s="67">
        <f>WACC!$E$10*Pnl!BA4</f>
        <v>10527.79821664004</v>
      </c>
    </row>
    <row r="42" spans="2:53" x14ac:dyDescent="0.25">
      <c r="B42" s="76" t="s">
        <v>91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Nosaukums</vt:lpstr>
      <vt:lpstr>Galvenie rādītāji</vt:lpstr>
      <vt:lpstr>Pieņēmumi</vt:lpstr>
      <vt:lpstr>Naudas plūsma</vt:lpstr>
      <vt:lpstr>Komp. un pārkomp. tests </vt:lpstr>
      <vt:lpstr>Pamatkapitāla ieguldījumi</vt:lpstr>
      <vt:lpstr>Finansējums</vt:lpstr>
      <vt:lpstr>WACC</vt:lpstr>
      <vt:lpstr>Pnl</vt:lpstr>
      <vt:lpstr>Pamatlīdzekļu nolietojums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Bernsone</dc:creator>
  <cp:lastModifiedBy>Agita Fernāte</cp:lastModifiedBy>
  <dcterms:created xsi:type="dcterms:W3CDTF">2021-11-11T12:04:40Z</dcterms:created>
  <dcterms:modified xsi:type="dcterms:W3CDTF">2022-10-14T12:54:17Z</dcterms:modified>
</cp:coreProperties>
</file>